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g1\Documents\Atividade_letiva\ColCampoFlores\Eco_escolas\2018_2019\trabalhos_EcoCCF\receitas_EcoCCF\"/>
    </mc:Choice>
  </mc:AlternateContent>
  <xr:revisionPtr revIDLastSave="0" documentId="13_ncr:1_{8FBA8FFF-ED53-4320-B52C-F8AFA4ED22A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nutrientes" sheetId="1" r:id="rId1"/>
    <sheet name="preço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D47" i="2" l="1"/>
  <c r="E47" i="2"/>
  <c r="F47" i="2"/>
  <c r="G47" i="2"/>
  <c r="G43" i="2"/>
  <c r="G44" i="2"/>
  <c r="G45" i="2"/>
  <c r="G46" i="2"/>
  <c r="G42" i="2"/>
  <c r="F26" i="2"/>
  <c r="G26" i="2" s="1"/>
  <c r="F36" i="2"/>
  <c r="G36" i="2" s="1"/>
  <c r="G37" i="2" s="1"/>
  <c r="F46" i="2"/>
  <c r="F45" i="2"/>
  <c r="F44" i="2"/>
  <c r="F43" i="2"/>
  <c r="F42" i="2"/>
  <c r="G33" i="2"/>
  <c r="G34" i="2"/>
  <c r="G35" i="2"/>
  <c r="G32" i="2"/>
  <c r="D37" i="2"/>
  <c r="E37" i="2"/>
  <c r="F37" i="2"/>
  <c r="F35" i="2"/>
  <c r="F34" i="2"/>
  <c r="F33" i="2"/>
  <c r="F32" i="2"/>
  <c r="G27" i="2"/>
  <c r="D27" i="2"/>
  <c r="E27" i="2"/>
  <c r="F27" i="2"/>
  <c r="G18" i="2"/>
  <c r="G19" i="2"/>
  <c r="G20" i="2"/>
  <c r="G21" i="2"/>
  <c r="G22" i="2"/>
  <c r="G23" i="2"/>
  <c r="G24" i="2"/>
  <c r="G25" i="2"/>
  <c r="G17" i="2"/>
  <c r="F25" i="2"/>
  <c r="F24" i="2"/>
  <c r="F23" i="2"/>
  <c r="F22" i="2"/>
  <c r="F21" i="2"/>
  <c r="F20" i="2"/>
  <c r="F19" i="2"/>
  <c r="F18" i="2"/>
  <c r="F17" i="2"/>
  <c r="D12" i="2"/>
  <c r="F12" i="2"/>
  <c r="G12" i="2"/>
  <c r="F11" i="2"/>
  <c r="F10" i="2"/>
  <c r="F9" i="2"/>
  <c r="F8" i="2"/>
  <c r="F7" i="2"/>
  <c r="F6" i="2"/>
  <c r="F5" i="2"/>
  <c r="D45" i="1" l="1"/>
  <c r="E45" i="1"/>
  <c r="D43" i="2" l="1"/>
  <c r="K7" i="2"/>
  <c r="J7" i="2"/>
  <c r="K6" i="2"/>
  <c r="J6" i="2"/>
  <c r="K5" i="2"/>
  <c r="J5" i="2"/>
  <c r="K4" i="2"/>
  <c r="J4" i="2"/>
  <c r="G6" i="2"/>
  <c r="G7" i="2"/>
  <c r="G8" i="2"/>
  <c r="G9" i="2"/>
  <c r="G10" i="2"/>
  <c r="G11" i="2"/>
  <c r="G5" i="2"/>
  <c r="G34" i="1"/>
  <c r="F34" i="1"/>
  <c r="E34" i="1"/>
  <c r="D34" i="1"/>
  <c r="K8" i="2" l="1"/>
  <c r="J8" i="2"/>
  <c r="G18" i="1"/>
  <c r="G17" i="1"/>
  <c r="E18" i="1"/>
  <c r="E17" i="1"/>
  <c r="D18" i="1"/>
  <c r="D17" i="1"/>
  <c r="F53" i="1"/>
  <c r="F50" i="1"/>
  <c r="E53" i="1"/>
  <c r="E51" i="1"/>
  <c r="E50" i="1"/>
  <c r="D50" i="1"/>
  <c r="C50" i="1"/>
  <c r="G32" i="1"/>
  <c r="G31" i="1"/>
  <c r="F32" i="1"/>
  <c r="F31" i="1"/>
  <c r="E32" i="1"/>
  <c r="E31" i="1"/>
  <c r="D32" i="1"/>
  <c r="D31" i="1"/>
  <c r="G43" i="1"/>
  <c r="F43" i="1"/>
  <c r="E43" i="1"/>
  <c r="D43" i="1"/>
  <c r="C47" i="2" l="1"/>
  <c r="C37" i="2"/>
  <c r="C27" i="2"/>
  <c r="C12" i="2"/>
  <c r="D35" i="1"/>
  <c r="H35" i="1" s="1"/>
  <c r="G35" i="1"/>
  <c r="K35" i="1" s="1"/>
  <c r="F24" i="1"/>
  <c r="J24" i="1" s="1"/>
  <c r="E24" i="1"/>
  <c r="I24" i="1" s="1"/>
  <c r="D24" i="1"/>
  <c r="G24" i="1"/>
  <c r="G45" i="1"/>
  <c r="G46" i="1" s="1"/>
  <c r="F45" i="1"/>
  <c r="J45" i="1" s="1"/>
  <c r="C46" i="1"/>
  <c r="C36" i="1"/>
  <c r="C26" i="1"/>
  <c r="F11" i="1"/>
  <c r="C11" i="1"/>
  <c r="G41" i="1"/>
  <c r="F41" i="1"/>
  <c r="J41" i="1" s="1"/>
  <c r="E41" i="1"/>
  <c r="E46" i="1" s="1"/>
  <c r="D41" i="1"/>
  <c r="J43" i="1"/>
  <c r="G42" i="1"/>
  <c r="F42" i="1"/>
  <c r="J42" i="1" s="1"/>
  <c r="E42" i="1"/>
  <c r="D42" i="1"/>
  <c r="G44" i="1"/>
  <c r="F44" i="1"/>
  <c r="J44" i="1" s="1"/>
  <c r="E44" i="1"/>
  <c r="D44" i="1"/>
  <c r="J34" i="1"/>
  <c r="G36" i="1"/>
  <c r="J31" i="1"/>
  <c r="E36" i="1"/>
  <c r="D36" i="1"/>
  <c r="J32" i="1"/>
  <c r="G33" i="1"/>
  <c r="F33" i="1"/>
  <c r="J33" i="1" s="1"/>
  <c r="E33" i="1"/>
  <c r="D33" i="1"/>
  <c r="G19" i="1"/>
  <c r="K19" i="1" s="1"/>
  <c r="F19" i="1"/>
  <c r="J19" i="1" s="1"/>
  <c r="E19" i="1"/>
  <c r="I19" i="1" s="1"/>
  <c r="D19" i="1"/>
  <c r="H19" i="1" s="1"/>
  <c r="G16" i="1"/>
  <c r="K16" i="1" s="1"/>
  <c r="F16" i="1"/>
  <c r="J16" i="1" s="1"/>
  <c r="E16" i="1"/>
  <c r="I16" i="1" s="1"/>
  <c r="D16" i="1"/>
  <c r="H16" i="1" s="1"/>
  <c r="G20" i="1"/>
  <c r="K20" i="1" s="1"/>
  <c r="F20" i="1"/>
  <c r="J20" i="1" s="1"/>
  <c r="E20" i="1"/>
  <c r="I20" i="1" s="1"/>
  <c r="D20" i="1"/>
  <c r="H20" i="1" s="1"/>
  <c r="F18" i="1"/>
  <c r="I18" i="1"/>
  <c r="H18" i="1"/>
  <c r="G23" i="1"/>
  <c r="K23" i="1" s="1"/>
  <c r="F23" i="1"/>
  <c r="J23" i="1" s="1"/>
  <c r="E23" i="1"/>
  <c r="I23" i="1" s="1"/>
  <c r="D23" i="1"/>
  <c r="H23" i="1" s="1"/>
  <c r="G21" i="1"/>
  <c r="F21" i="1"/>
  <c r="E21" i="1"/>
  <c r="I21" i="1" s="1"/>
  <c r="D21" i="1"/>
  <c r="G22" i="1"/>
  <c r="F22" i="1"/>
  <c r="J22" i="1" s="1"/>
  <c r="E22" i="1"/>
  <c r="I22" i="1" s="1"/>
  <c r="D22" i="1"/>
  <c r="K22" i="1"/>
  <c r="K24" i="1"/>
  <c r="H22" i="1"/>
  <c r="H24" i="1"/>
  <c r="H25" i="1"/>
  <c r="I25" i="1"/>
  <c r="J25" i="1"/>
  <c r="K25" i="1"/>
  <c r="I45" i="1"/>
  <c r="H45" i="1"/>
  <c r="K44" i="1"/>
  <c r="I44" i="1"/>
  <c r="H44" i="1"/>
  <c r="K43" i="1"/>
  <c r="I43" i="1"/>
  <c r="H43" i="1"/>
  <c r="K42" i="1"/>
  <c r="I42" i="1"/>
  <c r="H42" i="1"/>
  <c r="K41" i="1"/>
  <c r="I41" i="1"/>
  <c r="H41" i="1"/>
  <c r="J35" i="1"/>
  <c r="I35" i="1"/>
  <c r="K34" i="1"/>
  <c r="I34" i="1"/>
  <c r="H34" i="1"/>
  <c r="K33" i="1"/>
  <c r="I33" i="1"/>
  <c r="H33" i="1"/>
  <c r="K32" i="1"/>
  <c r="I32" i="1"/>
  <c r="H32" i="1"/>
  <c r="K31" i="1"/>
  <c r="I31" i="1"/>
  <c r="H31" i="1"/>
  <c r="K21" i="1"/>
  <c r="J21" i="1"/>
  <c r="H21" i="1"/>
  <c r="J18" i="1"/>
  <c r="K18" i="1"/>
  <c r="J17" i="1"/>
  <c r="K17" i="1"/>
  <c r="I17" i="1"/>
  <c r="H17" i="1"/>
  <c r="G8" i="1"/>
  <c r="K8" i="1" s="1"/>
  <c r="F8" i="1"/>
  <c r="J8" i="1" s="1"/>
  <c r="E8" i="1"/>
  <c r="I8" i="1" s="1"/>
  <c r="D8" i="1"/>
  <c r="H8" i="1" s="1"/>
  <c r="G4" i="1"/>
  <c r="K4" i="1" s="1"/>
  <c r="F4" i="1"/>
  <c r="J4" i="1" s="1"/>
  <c r="E4" i="1"/>
  <c r="I4" i="1" s="1"/>
  <c r="D4" i="1"/>
  <c r="H4" i="1" s="1"/>
  <c r="H11" i="1" s="1"/>
  <c r="G7" i="1"/>
  <c r="K7" i="1" s="1"/>
  <c r="F7" i="1"/>
  <c r="J7" i="1" s="1"/>
  <c r="E7" i="1"/>
  <c r="I7" i="1" s="1"/>
  <c r="D7" i="1"/>
  <c r="H7" i="1" s="1"/>
  <c r="G6" i="1"/>
  <c r="E6" i="1"/>
  <c r="I6" i="1" s="1"/>
  <c r="D6" i="1"/>
  <c r="H6" i="1" s="1"/>
  <c r="G5" i="1"/>
  <c r="K5" i="1" s="1"/>
  <c r="E5" i="1"/>
  <c r="I5" i="1" s="1"/>
  <c r="D5" i="1"/>
  <c r="G10" i="1"/>
  <c r="K10" i="1" s="1"/>
  <c r="F10" i="1"/>
  <c r="J10" i="1" s="1"/>
  <c r="E10" i="1"/>
  <c r="I10" i="1" s="1"/>
  <c r="D10" i="1"/>
  <c r="H10" i="1" s="1"/>
  <c r="G9" i="1"/>
  <c r="K9" i="1" s="1"/>
  <c r="F9" i="1"/>
  <c r="E9" i="1"/>
  <c r="I9" i="1" s="1"/>
  <c r="D9" i="1"/>
  <c r="H9" i="1" s="1"/>
  <c r="K6" i="1"/>
  <c r="J5" i="1"/>
  <c r="J6" i="1"/>
  <c r="J9" i="1"/>
  <c r="J11" i="1" s="1"/>
  <c r="H5" i="1"/>
  <c r="K11" i="1" l="1"/>
  <c r="I11" i="1"/>
  <c r="J46" i="1"/>
  <c r="F26" i="1"/>
  <c r="F36" i="1"/>
  <c r="I36" i="1"/>
  <c r="D52" i="1" s="1"/>
  <c r="K26" i="1"/>
  <c r="F51" i="1" s="1"/>
  <c r="E11" i="1"/>
  <c r="E26" i="1"/>
  <c r="G26" i="1"/>
  <c r="K36" i="1"/>
  <c r="F52" i="1" s="1"/>
  <c r="J26" i="1"/>
  <c r="J36" i="1"/>
  <c r="E52" i="1" s="1"/>
  <c r="E54" i="1" s="1"/>
  <c r="H26" i="1"/>
  <c r="C51" i="1" s="1"/>
  <c r="D11" i="1"/>
  <c r="D46" i="1"/>
  <c r="D26" i="1"/>
  <c r="H36" i="1"/>
  <c r="C52" i="1" s="1"/>
  <c r="I46" i="1"/>
  <c r="D53" i="1" s="1"/>
  <c r="F46" i="1"/>
  <c r="H46" i="1"/>
  <c r="C53" i="1" s="1"/>
  <c r="G11" i="1"/>
  <c r="I26" i="1"/>
  <c r="D51" i="1" s="1"/>
  <c r="D54" i="1" s="1"/>
  <c r="K45" i="1"/>
  <c r="K46" i="1" s="1"/>
  <c r="C54" i="1" l="1"/>
</calcChain>
</file>

<file path=xl/sharedStrings.xml><?xml version="1.0" encoding="utf-8"?>
<sst xmlns="http://schemas.openxmlformats.org/spreadsheetml/2006/main" count="193" uniqueCount="57">
  <si>
    <t>Sopa</t>
  </si>
  <si>
    <t>Ingredientes</t>
  </si>
  <si>
    <t>para 4 pessoas</t>
  </si>
  <si>
    <t>batata</t>
  </si>
  <si>
    <t>cenoura</t>
  </si>
  <si>
    <t>cebola</t>
  </si>
  <si>
    <t>espinafres</t>
  </si>
  <si>
    <t>alho</t>
  </si>
  <si>
    <t>azeite</t>
  </si>
  <si>
    <t>g</t>
  </si>
  <si>
    <t>Energia (Kcal)</t>
  </si>
  <si>
    <t>por pessoa</t>
  </si>
  <si>
    <t>courgette</t>
  </si>
  <si>
    <t>Hidratos de carbono (g)</t>
  </si>
  <si>
    <t>proteínas (g)</t>
  </si>
  <si>
    <t>lípidos (g)</t>
  </si>
  <si>
    <t>Prato principal</t>
  </si>
  <si>
    <t>Bebida</t>
  </si>
  <si>
    <t>Sobremesa</t>
  </si>
  <si>
    <t>frango</t>
  </si>
  <si>
    <t>batata-doce</t>
  </si>
  <si>
    <t>tomate</t>
  </si>
  <si>
    <t>alho francês</t>
  </si>
  <si>
    <t>dentes de alho</t>
  </si>
  <si>
    <t>alecrim</t>
  </si>
  <si>
    <t>sal</t>
  </si>
  <si>
    <t>q.b.</t>
  </si>
  <si>
    <t>laranja</t>
  </si>
  <si>
    <t>clementinas</t>
  </si>
  <si>
    <t>banana</t>
  </si>
  <si>
    <t>folhas de hortelã</t>
  </si>
  <si>
    <t>morangos</t>
  </si>
  <si>
    <t>iogurtes naturais</t>
  </si>
  <si>
    <t>maçãs</t>
  </si>
  <si>
    <t>sementes de sésamo</t>
  </si>
  <si>
    <t>gelatina em pó</t>
  </si>
  <si>
    <t>Total</t>
  </si>
  <si>
    <t>peso (g)</t>
  </si>
  <si>
    <t>Total da refeição</t>
  </si>
  <si>
    <t>H C (g)</t>
  </si>
  <si>
    <t>custo por pessoa (euros)</t>
  </si>
  <si>
    <t>custo 4 pessoas (euros)</t>
  </si>
  <si>
    <t>custo (euros)</t>
  </si>
  <si>
    <t>preço (Kg)</t>
  </si>
  <si>
    <t>maçã</t>
  </si>
  <si>
    <t>unidade</t>
  </si>
  <si>
    <t>Kg</t>
  </si>
  <si>
    <t>200g</t>
  </si>
  <si>
    <t>100g</t>
  </si>
  <si>
    <t>750 ml</t>
  </si>
  <si>
    <t>frango (peito)</t>
  </si>
  <si>
    <t>100 g</t>
  </si>
  <si>
    <t>750 mL</t>
  </si>
  <si>
    <t>23g</t>
  </si>
  <si>
    <t>40 g</t>
  </si>
  <si>
    <t>1 caixa</t>
  </si>
  <si>
    <t>200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</si>
</sst>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" xfId="0" applyFill="1" applyBorder="1"/>
    <xf numFmtId="0" fontId="0" fillId="0" borderId="20" xfId="0" applyBorder="1"/>
    <xf numFmtId="0" fontId="0" fillId="0" borderId="17" xfId="0" applyBorder="1"/>
    <xf numFmtId="164" fontId="0" fillId="0" borderId="2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17" xfId="0" applyFont="1" applyBorder="1"/>
    <xf numFmtId="0" fontId="1" fillId="0" borderId="19" xfId="0" applyFont="1" applyBorder="1"/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0" xfId="0" applyFont="1" applyBorder="1"/>
    <xf numFmtId="0" fontId="1" fillId="0" borderId="1" xfId="0" applyFont="1" applyBorder="1"/>
    <xf numFmtId="0" fontId="1" fillId="0" borderId="28" xfId="0" applyFont="1" applyBorder="1"/>
    <xf numFmtId="0" fontId="1" fillId="0" borderId="10" xfId="0" applyFont="1" applyBorder="1"/>
    <xf numFmtId="0" fontId="1" fillId="0" borderId="12" xfId="0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2" xfId="0" applyNumberFormat="1" applyBorder="1"/>
    <xf numFmtId="2" fontId="0" fillId="0" borderId="8" xfId="0" applyNumberFormat="1" applyBorder="1"/>
    <xf numFmtId="2" fontId="0" fillId="0" borderId="23" xfId="0" applyNumberFormat="1" applyBorder="1"/>
    <xf numFmtId="2" fontId="0" fillId="0" borderId="20" xfId="0" applyNumberFormat="1" applyBorder="1"/>
    <xf numFmtId="2" fontId="0" fillId="0" borderId="27" xfId="0" applyNumberFormat="1" applyBorder="1"/>
    <xf numFmtId="2" fontId="0" fillId="0" borderId="26" xfId="0" applyNumberFormat="1" applyBorder="1"/>
    <xf numFmtId="2" fontId="0" fillId="0" borderId="3" xfId="0" applyNumberFormat="1" applyBorder="1"/>
    <xf numFmtId="2" fontId="0" fillId="0" borderId="13" xfId="0" applyNumberFormat="1" applyBorder="1"/>
    <xf numFmtId="2" fontId="0" fillId="0" borderId="15" xfId="0" applyNumberFormat="1" applyBorder="1"/>
    <xf numFmtId="2" fontId="0" fillId="0" borderId="19" xfId="0" applyNumberFormat="1" applyBorder="1"/>
    <xf numFmtId="2" fontId="0" fillId="0" borderId="17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4"/>
  <sheetViews>
    <sheetView tabSelected="1" topLeftCell="A34" workbookViewId="0">
      <selection activeCell="F55" sqref="F55"/>
    </sheetView>
  </sheetViews>
  <sheetFormatPr defaultRowHeight="15" x14ac:dyDescent="0.25"/>
  <cols>
    <col min="2" max="2" width="19.85546875" bestFit="1" customWidth="1"/>
    <col min="3" max="3" width="16.7109375" bestFit="1" customWidth="1"/>
    <col min="4" max="4" width="22" bestFit="1" customWidth="1"/>
    <col min="5" max="5" width="12.140625" bestFit="1" customWidth="1"/>
    <col min="6" max="7" width="13.140625" bestFit="1" customWidth="1"/>
    <col min="8" max="8" width="22" bestFit="1" customWidth="1"/>
    <col min="9" max="9" width="12.140625" bestFit="1" customWidth="1"/>
    <col min="10" max="10" width="9.7109375" bestFit="1" customWidth="1"/>
    <col min="11" max="11" width="13.140625" bestFit="1" customWidth="1"/>
  </cols>
  <sheetData>
    <row r="1" spans="2:11" ht="15.75" thickBot="1" x14ac:dyDescent="0.3">
      <c r="B1" s="1" t="s">
        <v>0</v>
      </c>
    </row>
    <row r="2" spans="2:11" ht="15.75" thickBot="1" x14ac:dyDescent="0.3">
      <c r="C2" s="54" t="s">
        <v>2</v>
      </c>
      <c r="D2" s="55"/>
      <c r="E2" s="55"/>
      <c r="F2" s="55"/>
      <c r="G2" s="56"/>
      <c r="H2" s="54" t="s">
        <v>11</v>
      </c>
      <c r="I2" s="55"/>
      <c r="J2" s="55"/>
      <c r="K2" s="56"/>
    </row>
    <row r="3" spans="2:11" x14ac:dyDescent="0.25">
      <c r="B3" s="8" t="s">
        <v>1</v>
      </c>
      <c r="C3" s="7" t="s">
        <v>9</v>
      </c>
      <c r="D3" s="2" t="s">
        <v>13</v>
      </c>
      <c r="E3" s="2" t="s">
        <v>14</v>
      </c>
      <c r="F3" s="2" t="s">
        <v>15</v>
      </c>
      <c r="G3" s="5" t="s">
        <v>10</v>
      </c>
      <c r="H3" s="6" t="s">
        <v>13</v>
      </c>
      <c r="I3" s="2" t="s">
        <v>14</v>
      </c>
      <c r="J3" s="2" t="s">
        <v>15</v>
      </c>
      <c r="K3" s="5" t="s">
        <v>10</v>
      </c>
    </row>
    <row r="4" spans="2:11" x14ac:dyDescent="0.25">
      <c r="B4" s="9" t="s">
        <v>12</v>
      </c>
      <c r="C4" s="3">
        <v>200</v>
      </c>
      <c r="D4" s="18">
        <f>2*2</f>
        <v>4</v>
      </c>
      <c r="E4" s="18">
        <f>1.6*2</f>
        <v>3.2</v>
      </c>
      <c r="F4" s="18">
        <f>0.3*2</f>
        <v>0.6</v>
      </c>
      <c r="G4" s="19">
        <f>17*2</f>
        <v>34</v>
      </c>
      <c r="H4" s="20">
        <f>D4/4</f>
        <v>1</v>
      </c>
      <c r="I4" s="18">
        <f>E4/4</f>
        <v>0.8</v>
      </c>
      <c r="J4" s="18">
        <f>F4/4</f>
        <v>0.15</v>
      </c>
      <c r="K4" s="19">
        <f>G4/4</f>
        <v>8.5</v>
      </c>
    </row>
    <row r="5" spans="2:11" x14ac:dyDescent="0.25">
      <c r="B5" s="9" t="s">
        <v>3</v>
      </c>
      <c r="C5" s="3">
        <v>150</v>
      </c>
      <c r="D5" s="18">
        <f>19.2*1.5</f>
        <v>28.799999999999997</v>
      </c>
      <c r="E5" s="18">
        <f>2.5*1.5</f>
        <v>3.75</v>
      </c>
      <c r="F5" s="18">
        <v>0</v>
      </c>
      <c r="G5" s="19">
        <f>89*1.5</f>
        <v>133.5</v>
      </c>
      <c r="H5" s="20">
        <f t="shared" ref="H5:H10" si="0">D5/4</f>
        <v>7.1999999999999993</v>
      </c>
      <c r="I5" s="18">
        <f t="shared" ref="I5:I10" si="1">E5/4</f>
        <v>0.9375</v>
      </c>
      <c r="J5" s="18">
        <f t="shared" ref="J5:J9" si="2">F5/4</f>
        <v>0</v>
      </c>
      <c r="K5" s="19">
        <f t="shared" ref="K5:K10" si="3">G5/4</f>
        <v>33.375</v>
      </c>
    </row>
    <row r="6" spans="2:11" x14ac:dyDescent="0.25">
      <c r="B6" s="9" t="s">
        <v>4</v>
      </c>
      <c r="C6" s="3">
        <v>150</v>
      </c>
      <c r="D6" s="18">
        <f>4.4*1.5</f>
        <v>6.6000000000000005</v>
      </c>
      <c r="E6" s="18">
        <f>0.6*1.5</f>
        <v>0.89999999999999991</v>
      </c>
      <c r="F6" s="18">
        <v>0</v>
      </c>
      <c r="G6" s="19">
        <f>19*1.5</f>
        <v>28.5</v>
      </c>
      <c r="H6" s="20">
        <f t="shared" si="0"/>
        <v>1.6500000000000001</v>
      </c>
      <c r="I6" s="18">
        <f t="shared" si="1"/>
        <v>0.22499999999999998</v>
      </c>
      <c r="J6" s="18">
        <f t="shared" si="2"/>
        <v>0</v>
      </c>
      <c r="K6" s="19">
        <f t="shared" si="3"/>
        <v>7.125</v>
      </c>
    </row>
    <row r="7" spans="2:11" x14ac:dyDescent="0.25">
      <c r="B7" s="9" t="s">
        <v>5</v>
      </c>
      <c r="C7" s="3">
        <v>100</v>
      </c>
      <c r="D7" s="18">
        <f>3.1</f>
        <v>3.1</v>
      </c>
      <c r="E7" s="18">
        <f>0.9</f>
        <v>0.9</v>
      </c>
      <c r="F7" s="18">
        <f>0.2</f>
        <v>0.2</v>
      </c>
      <c r="G7" s="19">
        <f>17</f>
        <v>17</v>
      </c>
      <c r="H7" s="20">
        <f t="shared" si="0"/>
        <v>0.77500000000000002</v>
      </c>
      <c r="I7" s="18">
        <f t="shared" si="1"/>
        <v>0.22500000000000001</v>
      </c>
      <c r="J7" s="18">
        <f t="shared" si="2"/>
        <v>0.05</v>
      </c>
      <c r="K7" s="19">
        <f t="shared" si="3"/>
        <v>4.25</v>
      </c>
    </row>
    <row r="8" spans="2:11" x14ac:dyDescent="0.25">
      <c r="B8" s="9" t="s">
        <v>6</v>
      </c>
      <c r="C8" s="3">
        <v>100</v>
      </c>
      <c r="D8" s="18">
        <f>0.8</f>
        <v>0.8</v>
      </c>
      <c r="E8" s="18">
        <f>2.6</f>
        <v>2.6</v>
      </c>
      <c r="F8" s="18">
        <f>0.9</f>
        <v>0.9</v>
      </c>
      <c r="G8" s="19">
        <f>22</f>
        <v>22</v>
      </c>
      <c r="H8" s="20">
        <f t="shared" si="0"/>
        <v>0.2</v>
      </c>
      <c r="I8" s="18">
        <f t="shared" si="1"/>
        <v>0.65</v>
      </c>
      <c r="J8" s="18">
        <f t="shared" si="2"/>
        <v>0.22500000000000001</v>
      </c>
      <c r="K8" s="19">
        <f t="shared" si="3"/>
        <v>5.5</v>
      </c>
    </row>
    <row r="9" spans="2:11" x14ac:dyDescent="0.25">
      <c r="B9" s="9" t="s">
        <v>7</v>
      </c>
      <c r="C9" s="3">
        <v>5</v>
      </c>
      <c r="D9" s="18">
        <f>11.3/20</f>
        <v>0.56500000000000006</v>
      </c>
      <c r="E9" s="18">
        <f>3.8/20</f>
        <v>0.19</v>
      </c>
      <c r="F9" s="18">
        <f>0.6/20</f>
        <v>0.03</v>
      </c>
      <c r="G9" s="19">
        <f>67/20</f>
        <v>3.35</v>
      </c>
      <c r="H9" s="20">
        <f t="shared" si="0"/>
        <v>0.14125000000000001</v>
      </c>
      <c r="I9" s="18">
        <f t="shared" si="1"/>
        <v>4.7500000000000001E-2</v>
      </c>
      <c r="J9" s="18">
        <f t="shared" si="2"/>
        <v>7.4999999999999997E-3</v>
      </c>
      <c r="K9" s="19">
        <f t="shared" si="3"/>
        <v>0.83750000000000002</v>
      </c>
    </row>
    <row r="10" spans="2:11" ht="15.75" thickBot="1" x14ac:dyDescent="0.3">
      <c r="B10" s="11" t="s">
        <v>8</v>
      </c>
      <c r="C10" s="12">
        <v>25</v>
      </c>
      <c r="D10" s="21">
        <f>0</f>
        <v>0</v>
      </c>
      <c r="E10" s="21">
        <f>0.1/4</f>
        <v>2.5000000000000001E-2</v>
      </c>
      <c r="F10" s="21">
        <f>99.9/4</f>
        <v>24.975000000000001</v>
      </c>
      <c r="G10" s="22">
        <f>900/4</f>
        <v>225</v>
      </c>
      <c r="H10" s="23">
        <f t="shared" si="0"/>
        <v>0</v>
      </c>
      <c r="I10" s="21">
        <f t="shared" si="1"/>
        <v>6.2500000000000003E-3</v>
      </c>
      <c r="J10" s="21">
        <f>F10/4</f>
        <v>6.2437500000000004</v>
      </c>
      <c r="K10" s="22">
        <f t="shared" si="3"/>
        <v>56.25</v>
      </c>
    </row>
    <row r="11" spans="2:11" ht="15.75" thickBot="1" x14ac:dyDescent="0.3">
      <c r="B11" s="15" t="s">
        <v>36</v>
      </c>
      <c r="C11" s="16">
        <f>SUM(C4:C10)</f>
        <v>730</v>
      </c>
      <c r="D11" s="24">
        <f t="shared" ref="D11:K11" si="4">SUM(D4:D10)</f>
        <v>43.864999999999995</v>
      </c>
      <c r="E11" s="24">
        <f t="shared" si="4"/>
        <v>11.565</v>
      </c>
      <c r="F11" s="24">
        <f t="shared" si="4"/>
        <v>26.705000000000002</v>
      </c>
      <c r="G11" s="24">
        <f t="shared" si="4"/>
        <v>463.35</v>
      </c>
      <c r="H11" s="24">
        <f t="shared" si="4"/>
        <v>10.966249999999999</v>
      </c>
      <c r="I11" s="24">
        <f t="shared" si="4"/>
        <v>2.8912499999999999</v>
      </c>
      <c r="J11" s="24">
        <f t="shared" si="4"/>
        <v>6.6762500000000005</v>
      </c>
      <c r="K11" s="25">
        <f t="shared" si="4"/>
        <v>115.83750000000001</v>
      </c>
    </row>
    <row r="13" spans="2:11" ht="15.75" thickBot="1" x14ac:dyDescent="0.3">
      <c r="B13" s="1" t="s">
        <v>16</v>
      </c>
    </row>
    <row r="14" spans="2:11" ht="15.75" thickBot="1" x14ac:dyDescent="0.3">
      <c r="C14" s="54" t="s">
        <v>2</v>
      </c>
      <c r="D14" s="55"/>
      <c r="E14" s="55"/>
      <c r="F14" s="55"/>
      <c r="G14" s="56"/>
      <c r="H14" s="54" t="s">
        <v>11</v>
      </c>
      <c r="I14" s="55"/>
      <c r="J14" s="55"/>
      <c r="K14" s="56"/>
    </row>
    <row r="15" spans="2:11" x14ac:dyDescent="0.25">
      <c r="B15" s="8" t="s">
        <v>1</v>
      </c>
      <c r="C15" s="7" t="s">
        <v>9</v>
      </c>
      <c r="D15" s="2" t="s">
        <v>13</v>
      </c>
      <c r="E15" s="2" t="s">
        <v>14</v>
      </c>
      <c r="F15" s="2" t="s">
        <v>15</v>
      </c>
      <c r="G15" s="5" t="s">
        <v>10</v>
      </c>
      <c r="H15" s="6" t="s">
        <v>13</v>
      </c>
      <c r="I15" s="2" t="s">
        <v>14</v>
      </c>
      <c r="J15" s="2" t="s">
        <v>15</v>
      </c>
      <c r="K15" s="5" t="s">
        <v>10</v>
      </c>
    </row>
    <row r="16" spans="2:11" x14ac:dyDescent="0.25">
      <c r="B16" s="9" t="s">
        <v>19</v>
      </c>
      <c r="C16" s="3">
        <v>400</v>
      </c>
      <c r="D16" s="18">
        <f>0</f>
        <v>0</v>
      </c>
      <c r="E16" s="18">
        <f>24.1*4</f>
        <v>96.4</v>
      </c>
      <c r="F16" s="18">
        <f>1.2*4</f>
        <v>4.8</v>
      </c>
      <c r="G16" s="19">
        <f>108*4</f>
        <v>432</v>
      </c>
      <c r="H16" s="20">
        <f>D16/4</f>
        <v>0</v>
      </c>
      <c r="I16" s="18">
        <f>E16/4</f>
        <v>24.1</v>
      </c>
      <c r="J16" s="18">
        <f>F16/4</f>
        <v>1.2</v>
      </c>
      <c r="K16" s="19">
        <f>G16/4</f>
        <v>108</v>
      </c>
    </row>
    <row r="17" spans="2:11" x14ac:dyDescent="0.25">
      <c r="B17" s="9" t="s">
        <v>3</v>
      </c>
      <c r="C17" s="3">
        <v>160</v>
      </c>
      <c r="D17" s="18">
        <f>19.2*1.6</f>
        <v>30.72</v>
      </c>
      <c r="E17" s="18">
        <f>2.5*1.6</f>
        <v>4</v>
      </c>
      <c r="F17" s="18">
        <v>0</v>
      </c>
      <c r="G17" s="19">
        <f>89*1.6</f>
        <v>142.4</v>
      </c>
      <c r="H17" s="20">
        <f t="shared" ref="H17:H25" si="5">D17/4</f>
        <v>7.68</v>
      </c>
      <c r="I17" s="18">
        <f t="shared" ref="I17:I25" si="6">E17/4</f>
        <v>1</v>
      </c>
      <c r="J17" s="18">
        <f t="shared" ref="J17:J24" si="7">F17/4</f>
        <v>0</v>
      </c>
      <c r="K17" s="19">
        <f t="shared" ref="K17:K25" si="8">G17/4</f>
        <v>35.6</v>
      </c>
    </row>
    <row r="18" spans="2:11" x14ac:dyDescent="0.25">
      <c r="B18" s="9" t="s">
        <v>20</v>
      </c>
      <c r="C18" s="3">
        <v>160</v>
      </c>
      <c r="D18" s="18">
        <f>28.3*1.6</f>
        <v>45.28</v>
      </c>
      <c r="E18" s="18">
        <f>1*1.6</f>
        <v>1.6</v>
      </c>
      <c r="F18" s="18">
        <f>0</f>
        <v>0</v>
      </c>
      <c r="G18" s="19">
        <f>119*1.6</f>
        <v>190.4</v>
      </c>
      <c r="H18" s="20">
        <f t="shared" si="5"/>
        <v>11.32</v>
      </c>
      <c r="I18" s="18">
        <f t="shared" si="6"/>
        <v>0.4</v>
      </c>
      <c r="J18" s="18">
        <f t="shared" si="7"/>
        <v>0</v>
      </c>
      <c r="K18" s="19">
        <f t="shared" si="8"/>
        <v>47.6</v>
      </c>
    </row>
    <row r="19" spans="2:11" x14ac:dyDescent="0.25">
      <c r="B19" s="9" t="s">
        <v>21</v>
      </c>
      <c r="C19" s="3">
        <v>100</v>
      </c>
      <c r="D19" s="18">
        <f>3.5</f>
        <v>3.5</v>
      </c>
      <c r="E19" s="18">
        <f>0.8</f>
        <v>0.8</v>
      </c>
      <c r="F19" s="18">
        <f>0.3</f>
        <v>0.3</v>
      </c>
      <c r="G19" s="19">
        <f>19</f>
        <v>19</v>
      </c>
      <c r="H19" s="20">
        <f t="shared" si="5"/>
        <v>0.875</v>
      </c>
      <c r="I19" s="18">
        <f t="shared" si="6"/>
        <v>0.2</v>
      </c>
      <c r="J19" s="18">
        <f t="shared" si="7"/>
        <v>7.4999999999999997E-2</v>
      </c>
      <c r="K19" s="19">
        <f t="shared" si="8"/>
        <v>4.75</v>
      </c>
    </row>
    <row r="20" spans="2:11" x14ac:dyDescent="0.25">
      <c r="B20" s="9" t="s">
        <v>12</v>
      </c>
      <c r="C20" s="3">
        <v>100</v>
      </c>
      <c r="D20" s="18">
        <f>2</f>
        <v>2</v>
      </c>
      <c r="E20" s="18">
        <f>1.6</f>
        <v>1.6</v>
      </c>
      <c r="F20" s="18">
        <f>0.3</f>
        <v>0.3</v>
      </c>
      <c r="G20" s="19">
        <f>17</f>
        <v>17</v>
      </c>
      <c r="H20" s="20">
        <f t="shared" si="5"/>
        <v>0.5</v>
      </c>
      <c r="I20" s="18">
        <f t="shared" si="6"/>
        <v>0.4</v>
      </c>
      <c r="J20" s="18">
        <f t="shared" si="7"/>
        <v>7.4999999999999997E-2</v>
      </c>
      <c r="K20" s="19">
        <f t="shared" si="8"/>
        <v>4.25</v>
      </c>
    </row>
    <row r="21" spans="2:11" x14ac:dyDescent="0.25">
      <c r="B21" s="9" t="s">
        <v>22</v>
      </c>
      <c r="C21" s="3">
        <v>25</v>
      </c>
      <c r="D21" s="18">
        <f>2.9/4</f>
        <v>0.72499999999999998</v>
      </c>
      <c r="E21" s="18">
        <f>1.8/4</f>
        <v>0.45</v>
      </c>
      <c r="F21" s="18">
        <f>0.3/4</f>
        <v>7.4999999999999997E-2</v>
      </c>
      <c r="G21" s="19">
        <f>21/4</f>
        <v>5.25</v>
      </c>
      <c r="H21" s="20">
        <f t="shared" si="5"/>
        <v>0.18124999999999999</v>
      </c>
      <c r="I21" s="18">
        <f t="shared" si="6"/>
        <v>0.1125</v>
      </c>
      <c r="J21" s="18">
        <f t="shared" si="7"/>
        <v>1.8749999999999999E-2</v>
      </c>
      <c r="K21" s="19">
        <f t="shared" si="8"/>
        <v>1.3125</v>
      </c>
    </row>
    <row r="22" spans="2:11" x14ac:dyDescent="0.25">
      <c r="B22" s="11" t="s">
        <v>23</v>
      </c>
      <c r="C22" s="12">
        <v>10</v>
      </c>
      <c r="D22" s="21">
        <f>11.3/10</f>
        <v>1.1300000000000001</v>
      </c>
      <c r="E22" s="21">
        <f>3.8/10</f>
        <v>0.38</v>
      </c>
      <c r="F22" s="21">
        <f>0.6/10</f>
        <v>0.06</v>
      </c>
      <c r="G22" s="22">
        <f>67/10</f>
        <v>6.7</v>
      </c>
      <c r="H22" s="20">
        <f t="shared" si="5"/>
        <v>0.28250000000000003</v>
      </c>
      <c r="I22" s="18">
        <f t="shared" si="6"/>
        <v>9.5000000000000001E-2</v>
      </c>
      <c r="J22" s="18">
        <f t="shared" si="7"/>
        <v>1.4999999999999999E-2</v>
      </c>
      <c r="K22" s="19">
        <f t="shared" si="8"/>
        <v>1.675</v>
      </c>
    </row>
    <row r="23" spans="2:11" x14ac:dyDescent="0.25">
      <c r="B23" s="11" t="s">
        <v>8</v>
      </c>
      <c r="C23" s="12">
        <v>50</v>
      </c>
      <c r="D23" s="21">
        <f>0</f>
        <v>0</v>
      </c>
      <c r="E23" s="21">
        <f>0.1/2</f>
        <v>0.05</v>
      </c>
      <c r="F23" s="21">
        <f>99.9/2</f>
        <v>49.95</v>
      </c>
      <c r="G23" s="22">
        <f>900/2</f>
        <v>450</v>
      </c>
      <c r="H23" s="20">
        <f t="shared" si="5"/>
        <v>0</v>
      </c>
      <c r="I23" s="18">
        <f t="shared" si="6"/>
        <v>1.2500000000000001E-2</v>
      </c>
      <c r="J23" s="18">
        <f t="shared" si="7"/>
        <v>12.487500000000001</v>
      </c>
      <c r="K23" s="19">
        <f t="shared" si="8"/>
        <v>112.5</v>
      </c>
    </row>
    <row r="24" spans="2:11" x14ac:dyDescent="0.25">
      <c r="B24" s="11" t="s">
        <v>24</v>
      </c>
      <c r="C24" s="12">
        <v>10</v>
      </c>
      <c r="D24" s="21">
        <f>2.6*0.1</f>
        <v>0.26</v>
      </c>
      <c r="E24" s="21">
        <f>0.2*0.1</f>
        <v>2.0000000000000004E-2</v>
      </c>
      <c r="F24" s="21">
        <f>0.6*0.1</f>
        <v>0.06</v>
      </c>
      <c r="G24" s="22">
        <f>16.5*0.1</f>
        <v>1.6500000000000001</v>
      </c>
      <c r="H24" s="20">
        <f t="shared" si="5"/>
        <v>6.5000000000000002E-2</v>
      </c>
      <c r="I24" s="18">
        <f t="shared" si="6"/>
        <v>5.000000000000001E-3</v>
      </c>
      <c r="J24" s="18">
        <f t="shared" si="7"/>
        <v>1.4999999999999999E-2</v>
      </c>
      <c r="K24" s="19">
        <f t="shared" si="8"/>
        <v>0.41250000000000003</v>
      </c>
    </row>
    <row r="25" spans="2:11" ht="15.75" thickBot="1" x14ac:dyDescent="0.3">
      <c r="B25" s="10" t="s">
        <v>25</v>
      </c>
      <c r="C25" s="12" t="s">
        <v>26</v>
      </c>
      <c r="D25" s="21">
        <v>0</v>
      </c>
      <c r="E25" s="21">
        <v>0</v>
      </c>
      <c r="F25" s="21">
        <v>0</v>
      </c>
      <c r="G25" s="22">
        <v>0</v>
      </c>
      <c r="H25" s="23">
        <f t="shared" si="5"/>
        <v>0</v>
      </c>
      <c r="I25" s="21">
        <f t="shared" si="6"/>
        <v>0</v>
      </c>
      <c r="J25" s="21">
        <f>F25/4</f>
        <v>0</v>
      </c>
      <c r="K25" s="22">
        <f t="shared" si="8"/>
        <v>0</v>
      </c>
    </row>
    <row r="26" spans="2:11" ht="15.75" thickBot="1" x14ac:dyDescent="0.3">
      <c r="B26" s="15" t="s">
        <v>36</v>
      </c>
      <c r="C26" s="17">
        <f>SUM(C16:C24)</f>
        <v>1015</v>
      </c>
      <c r="D26" s="24">
        <f t="shared" ref="D26:K26" si="9">SUM(D16:D24)</f>
        <v>83.614999999999995</v>
      </c>
      <c r="E26" s="24">
        <f t="shared" si="9"/>
        <v>105.29999999999998</v>
      </c>
      <c r="F26" s="24">
        <f t="shared" si="9"/>
        <v>55.545000000000002</v>
      </c>
      <c r="G26" s="24">
        <f t="shared" si="9"/>
        <v>1264.4000000000001</v>
      </c>
      <c r="H26" s="24">
        <f t="shared" si="9"/>
        <v>20.903749999999999</v>
      </c>
      <c r="I26" s="24">
        <f t="shared" si="9"/>
        <v>26.324999999999996</v>
      </c>
      <c r="J26" s="24">
        <f t="shared" si="9"/>
        <v>13.88625</v>
      </c>
      <c r="K26" s="25">
        <f t="shared" si="9"/>
        <v>316.10000000000002</v>
      </c>
    </row>
    <row r="28" spans="2:11" ht="15.75" thickBot="1" x14ac:dyDescent="0.3">
      <c r="B28" s="1" t="s">
        <v>17</v>
      </c>
    </row>
    <row r="29" spans="2:11" ht="15.75" thickBot="1" x14ac:dyDescent="0.3">
      <c r="C29" s="54" t="s">
        <v>2</v>
      </c>
      <c r="D29" s="55"/>
      <c r="E29" s="55"/>
      <c r="F29" s="55"/>
      <c r="G29" s="56"/>
      <c r="H29" s="54" t="s">
        <v>11</v>
      </c>
      <c r="I29" s="55"/>
      <c r="J29" s="55"/>
      <c r="K29" s="56"/>
    </row>
    <row r="30" spans="2:11" x14ac:dyDescent="0.25">
      <c r="B30" s="8" t="s">
        <v>1</v>
      </c>
      <c r="C30" s="7" t="s">
        <v>9</v>
      </c>
      <c r="D30" s="2" t="s">
        <v>13</v>
      </c>
      <c r="E30" s="2" t="s">
        <v>14</v>
      </c>
      <c r="F30" s="2" t="s">
        <v>15</v>
      </c>
      <c r="G30" s="5" t="s">
        <v>10</v>
      </c>
      <c r="H30" s="6" t="s">
        <v>13</v>
      </c>
      <c r="I30" s="2" t="s">
        <v>14</v>
      </c>
      <c r="J30" s="2" t="s">
        <v>15</v>
      </c>
      <c r="K30" s="5" t="s">
        <v>10</v>
      </c>
    </row>
    <row r="31" spans="2:11" x14ac:dyDescent="0.25">
      <c r="B31" s="9" t="s">
        <v>27</v>
      </c>
      <c r="C31" s="3">
        <v>300</v>
      </c>
      <c r="D31" s="18">
        <f>8.9*3</f>
        <v>26.700000000000003</v>
      </c>
      <c r="E31" s="18">
        <f>1.1*3</f>
        <v>3.3000000000000003</v>
      </c>
      <c r="F31" s="18">
        <f>0.2*3</f>
        <v>0.60000000000000009</v>
      </c>
      <c r="G31" s="19">
        <f>42*3</f>
        <v>126</v>
      </c>
      <c r="H31" s="20">
        <f>D31/4</f>
        <v>6.6750000000000007</v>
      </c>
      <c r="I31" s="18">
        <f>E31/4</f>
        <v>0.82500000000000007</v>
      </c>
      <c r="J31" s="18">
        <f>F31/4</f>
        <v>0.15000000000000002</v>
      </c>
      <c r="K31" s="19">
        <f>G31/4</f>
        <v>31.5</v>
      </c>
    </row>
    <row r="32" spans="2:11" x14ac:dyDescent="0.25">
      <c r="B32" s="9" t="s">
        <v>28</v>
      </c>
      <c r="C32" s="3">
        <v>130</v>
      </c>
      <c r="D32" s="18">
        <f>11.1*1.3</f>
        <v>14.43</v>
      </c>
      <c r="E32" s="18">
        <f>0.8*1.3</f>
        <v>1.04</v>
      </c>
      <c r="F32" s="18">
        <f>0.2*1.3</f>
        <v>0.26</v>
      </c>
      <c r="G32" s="19">
        <f>48*1.3</f>
        <v>62.400000000000006</v>
      </c>
      <c r="H32" s="20">
        <f t="shared" ref="H32:H35" si="10">D32/4</f>
        <v>3.6074999999999999</v>
      </c>
      <c r="I32" s="18">
        <f t="shared" ref="I32:I35" si="11">E32/4</f>
        <v>0.26</v>
      </c>
      <c r="J32" s="18">
        <f t="shared" ref="J32:J34" si="12">F32/4</f>
        <v>6.5000000000000002E-2</v>
      </c>
      <c r="K32" s="19">
        <f t="shared" ref="K32:K35" si="13">G32/4</f>
        <v>15.600000000000001</v>
      </c>
    </row>
    <row r="33" spans="2:11" x14ac:dyDescent="0.25">
      <c r="B33" s="9" t="s">
        <v>29</v>
      </c>
      <c r="C33" s="3">
        <v>100</v>
      </c>
      <c r="D33" s="18">
        <f>21.8</f>
        <v>21.8</v>
      </c>
      <c r="E33" s="18">
        <f>1.6</f>
        <v>1.6</v>
      </c>
      <c r="F33" s="18">
        <f>0.4</f>
        <v>0.4</v>
      </c>
      <c r="G33" s="19">
        <f>95</f>
        <v>95</v>
      </c>
      <c r="H33" s="20">
        <f t="shared" si="10"/>
        <v>5.45</v>
      </c>
      <c r="I33" s="18">
        <f t="shared" si="11"/>
        <v>0.4</v>
      </c>
      <c r="J33" s="18">
        <f t="shared" si="12"/>
        <v>0.1</v>
      </c>
      <c r="K33" s="19">
        <f t="shared" si="13"/>
        <v>23.75</v>
      </c>
    </row>
    <row r="34" spans="2:11" x14ac:dyDescent="0.25">
      <c r="B34" s="9" t="s">
        <v>44</v>
      </c>
      <c r="C34" s="3">
        <v>120</v>
      </c>
      <c r="D34" s="18">
        <f>12.7*1.2</f>
        <v>15.239999999999998</v>
      </c>
      <c r="E34" s="18">
        <f>0.2*1.2</f>
        <v>0.24</v>
      </c>
      <c r="F34" s="18">
        <f>0.5*1.2</f>
        <v>0.6</v>
      </c>
      <c r="G34" s="19">
        <f>54*1.2</f>
        <v>64.8</v>
      </c>
      <c r="H34" s="20">
        <f t="shared" si="10"/>
        <v>3.8099999999999996</v>
      </c>
      <c r="I34" s="18">
        <f t="shared" si="11"/>
        <v>0.06</v>
      </c>
      <c r="J34" s="18">
        <f t="shared" si="12"/>
        <v>0.15</v>
      </c>
      <c r="K34" s="19">
        <f t="shared" si="13"/>
        <v>16.2</v>
      </c>
    </row>
    <row r="35" spans="2:11" ht="15.75" thickBot="1" x14ac:dyDescent="0.3">
      <c r="B35" s="10" t="s">
        <v>30</v>
      </c>
      <c r="C35" s="12">
        <v>2</v>
      </c>
      <c r="D35" s="21">
        <f>0.2*0.02</f>
        <v>4.0000000000000001E-3</v>
      </c>
      <c r="E35" s="21">
        <v>0</v>
      </c>
      <c r="F35" s="21">
        <v>0</v>
      </c>
      <c r="G35" s="22">
        <f>1*0.02</f>
        <v>0.02</v>
      </c>
      <c r="H35" s="23">
        <f t="shared" si="10"/>
        <v>1E-3</v>
      </c>
      <c r="I35" s="21">
        <f t="shared" si="11"/>
        <v>0</v>
      </c>
      <c r="J35" s="21">
        <f>F35/4</f>
        <v>0</v>
      </c>
      <c r="K35" s="22">
        <f t="shared" si="13"/>
        <v>5.0000000000000001E-3</v>
      </c>
    </row>
    <row r="36" spans="2:11" ht="15.75" thickBot="1" x14ac:dyDescent="0.3">
      <c r="B36" s="15" t="s">
        <v>36</v>
      </c>
      <c r="C36" s="17">
        <f>SUM(C31:C35)</f>
        <v>652</v>
      </c>
      <c r="D36" s="24">
        <f t="shared" ref="D36:K36" si="14">SUM(D31:D35)</f>
        <v>78.174000000000007</v>
      </c>
      <c r="E36" s="24">
        <f t="shared" si="14"/>
        <v>6.18</v>
      </c>
      <c r="F36" s="24">
        <f t="shared" si="14"/>
        <v>1.8600000000000003</v>
      </c>
      <c r="G36" s="24">
        <f t="shared" si="14"/>
        <v>348.21999999999997</v>
      </c>
      <c r="H36" s="24">
        <f t="shared" si="14"/>
        <v>19.543500000000002</v>
      </c>
      <c r="I36" s="24">
        <f t="shared" si="14"/>
        <v>1.5449999999999999</v>
      </c>
      <c r="J36" s="24">
        <f t="shared" si="14"/>
        <v>0.46500000000000008</v>
      </c>
      <c r="K36" s="25">
        <f t="shared" si="14"/>
        <v>87.054999999999993</v>
      </c>
    </row>
    <row r="38" spans="2:11" ht="15.75" thickBot="1" x14ac:dyDescent="0.3">
      <c r="B38" s="1" t="s">
        <v>18</v>
      </c>
    </row>
    <row r="39" spans="2:11" ht="15.75" thickBot="1" x14ac:dyDescent="0.3">
      <c r="C39" s="54" t="s">
        <v>2</v>
      </c>
      <c r="D39" s="55"/>
      <c r="E39" s="55"/>
      <c r="F39" s="55"/>
      <c r="G39" s="56"/>
      <c r="H39" s="54" t="s">
        <v>11</v>
      </c>
      <c r="I39" s="55"/>
      <c r="J39" s="55"/>
      <c r="K39" s="56"/>
    </row>
    <row r="40" spans="2:11" x14ac:dyDescent="0.25">
      <c r="B40" s="8" t="s">
        <v>1</v>
      </c>
      <c r="C40" s="7" t="s">
        <v>9</v>
      </c>
      <c r="D40" s="2" t="s">
        <v>13</v>
      </c>
      <c r="E40" s="2" t="s">
        <v>14</v>
      </c>
      <c r="F40" s="2" t="s">
        <v>15</v>
      </c>
      <c r="G40" s="5" t="s">
        <v>10</v>
      </c>
      <c r="H40" s="6" t="s">
        <v>13</v>
      </c>
      <c r="I40" s="2" t="s">
        <v>14</v>
      </c>
      <c r="J40" s="2" t="s">
        <v>15</v>
      </c>
      <c r="K40" s="5" t="s">
        <v>10</v>
      </c>
    </row>
    <row r="41" spans="2:11" x14ac:dyDescent="0.25">
      <c r="B41" s="9" t="s">
        <v>31</v>
      </c>
      <c r="C41" s="3">
        <v>250</v>
      </c>
      <c r="D41" s="18">
        <f>5.3*2.5</f>
        <v>13.25</v>
      </c>
      <c r="E41" s="18">
        <f>0.6*2.5</f>
        <v>1.5</v>
      </c>
      <c r="F41" s="18">
        <f>0.4*2.5</f>
        <v>1</v>
      </c>
      <c r="G41" s="19">
        <f>29*2.5</f>
        <v>72.5</v>
      </c>
      <c r="H41" s="20">
        <f>D41/4</f>
        <v>3.3125</v>
      </c>
      <c r="I41" s="18">
        <f>E41/4</f>
        <v>0.375</v>
      </c>
      <c r="J41" s="18">
        <f>F41/4</f>
        <v>0.25</v>
      </c>
      <c r="K41" s="19">
        <f>G41/4</f>
        <v>18.125</v>
      </c>
    </row>
    <row r="42" spans="2:11" x14ac:dyDescent="0.25">
      <c r="B42" s="9" t="s">
        <v>32</v>
      </c>
      <c r="C42" s="3">
        <v>125</v>
      </c>
      <c r="D42" s="18">
        <f>5*1.25</f>
        <v>6.25</v>
      </c>
      <c r="E42" s="18">
        <f>4.2*1.25</f>
        <v>5.25</v>
      </c>
      <c r="F42" s="18">
        <f>1.8*1.25</f>
        <v>2.25</v>
      </c>
      <c r="G42" s="19">
        <f>54*1.25</f>
        <v>67.5</v>
      </c>
      <c r="H42" s="20">
        <f t="shared" ref="H42:H45" si="15">D42/4</f>
        <v>1.5625</v>
      </c>
      <c r="I42" s="18">
        <f t="shared" ref="I42:I45" si="16">E42/4</f>
        <v>1.3125</v>
      </c>
      <c r="J42" s="18">
        <f t="shared" ref="J42:J44" si="17">F42/4</f>
        <v>0.5625</v>
      </c>
      <c r="K42" s="19">
        <f t="shared" ref="K42:K45" si="18">G42/4</f>
        <v>16.875</v>
      </c>
    </row>
    <row r="43" spans="2:11" x14ac:dyDescent="0.25">
      <c r="B43" s="9" t="s">
        <v>44</v>
      </c>
      <c r="C43" s="3">
        <v>100</v>
      </c>
      <c r="D43" s="18">
        <f>12.7</f>
        <v>12.7</v>
      </c>
      <c r="E43" s="18">
        <f>0.2</f>
        <v>0.2</v>
      </c>
      <c r="F43" s="18">
        <f>0.5</f>
        <v>0.5</v>
      </c>
      <c r="G43" s="19">
        <f>54</f>
        <v>54</v>
      </c>
      <c r="H43" s="20">
        <f t="shared" si="15"/>
        <v>3.1749999999999998</v>
      </c>
      <c r="I43" s="18">
        <f t="shared" si="16"/>
        <v>0.05</v>
      </c>
      <c r="J43" s="18">
        <f t="shared" si="17"/>
        <v>0.125</v>
      </c>
      <c r="K43" s="19">
        <f t="shared" si="18"/>
        <v>13.5</v>
      </c>
    </row>
    <row r="44" spans="2:11" x14ac:dyDescent="0.25">
      <c r="B44" s="9" t="s">
        <v>35</v>
      </c>
      <c r="C44" s="3">
        <v>20</v>
      </c>
      <c r="D44" s="18">
        <f>0</f>
        <v>0</v>
      </c>
      <c r="E44" s="18">
        <f>87*0.2</f>
        <v>17.400000000000002</v>
      </c>
      <c r="F44" s="18">
        <f>0.1*0.2</f>
        <v>2.0000000000000004E-2</v>
      </c>
      <c r="G44" s="19">
        <f>349*0.2</f>
        <v>69.8</v>
      </c>
      <c r="H44" s="20">
        <f t="shared" si="15"/>
        <v>0</v>
      </c>
      <c r="I44" s="18">
        <f t="shared" si="16"/>
        <v>4.3500000000000005</v>
      </c>
      <c r="J44" s="18">
        <f t="shared" si="17"/>
        <v>5.000000000000001E-3</v>
      </c>
      <c r="K44" s="19">
        <f t="shared" si="18"/>
        <v>17.45</v>
      </c>
    </row>
    <row r="45" spans="2:11" ht="15.75" thickBot="1" x14ac:dyDescent="0.3">
      <c r="B45" s="10" t="s">
        <v>34</v>
      </c>
      <c r="C45" s="12">
        <v>5</v>
      </c>
      <c r="D45" s="21">
        <f>23*0.05</f>
        <v>1.1500000000000001</v>
      </c>
      <c r="E45" s="21">
        <f>18*0.05</f>
        <v>0.9</v>
      </c>
      <c r="F45" s="21">
        <f>48*0.05</f>
        <v>2.4000000000000004</v>
      </c>
      <c r="G45" s="22">
        <f>573*0.05</f>
        <v>28.650000000000002</v>
      </c>
      <c r="H45" s="23">
        <f t="shared" si="15"/>
        <v>0.28750000000000003</v>
      </c>
      <c r="I45" s="21">
        <f t="shared" si="16"/>
        <v>0.22500000000000001</v>
      </c>
      <c r="J45" s="21">
        <f>F45/4</f>
        <v>0.60000000000000009</v>
      </c>
      <c r="K45" s="22">
        <f t="shared" si="18"/>
        <v>7.1625000000000005</v>
      </c>
    </row>
    <row r="46" spans="2:11" ht="15.75" thickBot="1" x14ac:dyDescent="0.3">
      <c r="B46" s="15" t="s">
        <v>36</v>
      </c>
      <c r="C46" s="17">
        <f>SUM(C41:C45)</f>
        <v>500</v>
      </c>
      <c r="D46" s="24">
        <f t="shared" ref="D46:K46" si="19">SUM(D41:D45)</f>
        <v>33.35</v>
      </c>
      <c r="E46" s="24">
        <f t="shared" si="19"/>
        <v>25.25</v>
      </c>
      <c r="F46" s="24">
        <f t="shared" si="19"/>
        <v>6.17</v>
      </c>
      <c r="G46" s="24">
        <f t="shared" si="19"/>
        <v>292.45</v>
      </c>
      <c r="H46" s="24">
        <f t="shared" si="19"/>
        <v>8.3375000000000004</v>
      </c>
      <c r="I46" s="24">
        <f t="shared" si="19"/>
        <v>6.3125</v>
      </c>
      <c r="J46" s="24">
        <f t="shared" si="19"/>
        <v>1.5425</v>
      </c>
      <c r="K46" s="25">
        <f t="shared" si="19"/>
        <v>73.112499999999997</v>
      </c>
    </row>
    <row r="48" spans="2:11" ht="15.75" thickBot="1" x14ac:dyDescent="0.3"/>
    <row r="49" spans="2:6" ht="15.75" thickBot="1" x14ac:dyDescent="0.3">
      <c r="B49" s="29" t="s">
        <v>38</v>
      </c>
      <c r="C49" s="41" t="s">
        <v>39</v>
      </c>
      <c r="D49" s="41" t="s">
        <v>14</v>
      </c>
      <c r="E49" s="41" t="s">
        <v>15</v>
      </c>
      <c r="F49" s="42" t="s">
        <v>10</v>
      </c>
    </row>
    <row r="50" spans="2:6" x14ac:dyDescent="0.25">
      <c r="B50" s="28" t="s">
        <v>0</v>
      </c>
      <c r="C50" s="39">
        <f>H11</f>
        <v>10.966249999999999</v>
      </c>
      <c r="D50" s="39">
        <f>I11</f>
        <v>2.8912499999999999</v>
      </c>
      <c r="E50" s="39">
        <f>J11</f>
        <v>6.6762500000000005</v>
      </c>
      <c r="F50" s="40">
        <f>K11</f>
        <v>115.83750000000001</v>
      </c>
    </row>
    <row r="51" spans="2:6" x14ac:dyDescent="0.25">
      <c r="B51" s="6" t="s">
        <v>16</v>
      </c>
      <c r="C51" s="18">
        <f>H26</f>
        <v>20.903749999999999</v>
      </c>
      <c r="D51" s="18">
        <f>I26</f>
        <v>26.324999999999996</v>
      </c>
      <c r="E51" s="18">
        <f>J26</f>
        <v>13.88625</v>
      </c>
      <c r="F51" s="19">
        <f>K26</f>
        <v>316.10000000000002</v>
      </c>
    </row>
    <row r="52" spans="2:6" x14ac:dyDescent="0.25">
      <c r="B52" s="6" t="s">
        <v>17</v>
      </c>
      <c r="C52" s="18">
        <f>H36</f>
        <v>19.543500000000002</v>
      </c>
      <c r="D52" s="18">
        <f>I36</f>
        <v>1.5449999999999999</v>
      </c>
      <c r="E52" s="18">
        <f>J36</f>
        <v>0.46500000000000008</v>
      </c>
      <c r="F52" s="19">
        <f>K36</f>
        <v>87.054999999999993</v>
      </c>
    </row>
    <row r="53" spans="2:6" ht="15.75" thickBot="1" x14ac:dyDescent="0.3">
      <c r="B53" s="14" t="s">
        <v>18</v>
      </c>
      <c r="C53" s="21">
        <f>H46</f>
        <v>8.3375000000000004</v>
      </c>
      <c r="D53" s="21">
        <f>I46</f>
        <v>6.3125</v>
      </c>
      <c r="E53" s="21">
        <f>J46</f>
        <v>1.5425</v>
      </c>
      <c r="F53" s="22">
        <f>K46</f>
        <v>73.112499999999997</v>
      </c>
    </row>
    <row r="54" spans="2:6" ht="15.75" thickBot="1" x14ac:dyDescent="0.3">
      <c r="B54" s="17" t="s">
        <v>36</v>
      </c>
      <c r="C54" s="24">
        <f>SUM(C50:C53)</f>
        <v>59.750999999999998</v>
      </c>
      <c r="D54" s="24">
        <f t="shared" ref="D54:F54" si="20">SUM(D50:D53)</f>
        <v>37.073749999999997</v>
      </c>
      <c r="E54" s="24">
        <f t="shared" si="20"/>
        <v>22.57</v>
      </c>
      <c r="F54" s="25">
        <f>SUM(F50:F53)</f>
        <v>592.1049999999999</v>
      </c>
    </row>
  </sheetData>
  <mergeCells count="8">
    <mergeCell ref="C39:G39"/>
    <mergeCell ref="H39:K39"/>
    <mergeCell ref="C2:G2"/>
    <mergeCell ref="H2:K2"/>
    <mergeCell ref="C14:G14"/>
    <mergeCell ref="H14:K14"/>
    <mergeCell ref="C29:G29"/>
    <mergeCell ref="H29:K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47"/>
  <sheetViews>
    <sheetView topLeftCell="A26" workbookViewId="0">
      <selection activeCell="I17" sqref="I17"/>
    </sheetView>
  </sheetViews>
  <sheetFormatPr defaultRowHeight="15" x14ac:dyDescent="0.25"/>
  <cols>
    <col min="2" max="2" width="19.85546875" bestFit="1" customWidth="1"/>
    <col min="4" max="4" width="10" bestFit="1" customWidth="1"/>
    <col min="5" max="5" width="10" customWidth="1"/>
    <col min="6" max="7" width="12.140625" bestFit="1" customWidth="1"/>
    <col min="9" max="9" width="15.85546875" bestFit="1" customWidth="1"/>
    <col min="10" max="10" width="21.85546875" bestFit="1" customWidth="1"/>
    <col min="11" max="11" width="23" bestFit="1" customWidth="1"/>
  </cols>
  <sheetData>
    <row r="2" spans="2:11" ht="15.75" thickBot="1" x14ac:dyDescent="0.3">
      <c r="B2" s="1" t="s">
        <v>0</v>
      </c>
    </row>
    <row r="3" spans="2:11" ht="15.75" thickBot="1" x14ac:dyDescent="0.3">
      <c r="C3" s="54" t="s">
        <v>2</v>
      </c>
      <c r="D3" s="55"/>
      <c r="E3" s="57"/>
      <c r="F3" s="57"/>
      <c r="G3" s="4" t="s">
        <v>11</v>
      </c>
      <c r="I3" s="35" t="s">
        <v>38</v>
      </c>
      <c r="J3" s="34" t="s">
        <v>41</v>
      </c>
      <c r="K3" s="30" t="s">
        <v>40</v>
      </c>
    </row>
    <row r="4" spans="2:11" x14ac:dyDescent="0.25">
      <c r="B4" s="8" t="s">
        <v>1</v>
      </c>
      <c r="C4" s="7" t="s">
        <v>37</v>
      </c>
      <c r="D4" s="31" t="s">
        <v>43</v>
      </c>
      <c r="E4" s="32" t="s">
        <v>45</v>
      </c>
      <c r="F4" s="32" t="s">
        <v>42</v>
      </c>
      <c r="G4" s="33" t="s">
        <v>42</v>
      </c>
      <c r="I4" s="36" t="s">
        <v>0</v>
      </c>
      <c r="J4" s="47">
        <f>F12</f>
        <v>1.9687000000000001</v>
      </c>
      <c r="K4" s="48">
        <f>G12</f>
        <v>0.49217500000000003</v>
      </c>
    </row>
    <row r="5" spans="2:11" x14ac:dyDescent="0.25">
      <c r="B5" s="9" t="s">
        <v>12</v>
      </c>
      <c r="C5" s="3">
        <v>240</v>
      </c>
      <c r="D5" s="2">
        <v>1.0900000000000001</v>
      </c>
      <c r="E5" s="26" t="s">
        <v>46</v>
      </c>
      <c r="F5" s="43">
        <f>D5*0.24</f>
        <v>0.2616</v>
      </c>
      <c r="G5" s="44">
        <f>F5/4</f>
        <v>6.54E-2</v>
      </c>
      <c r="I5" s="37" t="s">
        <v>16</v>
      </c>
      <c r="J5" s="49">
        <f>F27</f>
        <v>4.360549999999999</v>
      </c>
      <c r="K5" s="44">
        <f>G27</f>
        <v>1.0901374999999998</v>
      </c>
    </row>
    <row r="6" spans="2:11" x14ac:dyDescent="0.25">
      <c r="B6" s="9" t="s">
        <v>3</v>
      </c>
      <c r="C6" s="3">
        <v>180</v>
      </c>
      <c r="D6" s="2">
        <v>0.89</v>
      </c>
      <c r="E6" s="26" t="s">
        <v>46</v>
      </c>
      <c r="F6" s="43">
        <f>D6*0.18</f>
        <v>0.16020000000000001</v>
      </c>
      <c r="G6" s="44">
        <f t="shared" ref="G6:G11" si="0">F6/4</f>
        <v>4.0050000000000002E-2</v>
      </c>
      <c r="I6" s="37" t="s">
        <v>17</v>
      </c>
      <c r="J6" s="49">
        <f>F37</f>
        <v>1.1852500000000001</v>
      </c>
      <c r="K6" s="44">
        <f>G37</f>
        <v>0.29631250000000003</v>
      </c>
    </row>
    <row r="7" spans="2:11" ht="15.75" thickBot="1" x14ac:dyDescent="0.3">
      <c r="B7" s="9" t="s">
        <v>4</v>
      </c>
      <c r="C7" s="3">
        <v>170</v>
      </c>
      <c r="D7" s="2">
        <v>0.69</v>
      </c>
      <c r="E7" s="26" t="s">
        <v>46</v>
      </c>
      <c r="F7" s="43">
        <f>D7*0.17</f>
        <v>0.1173</v>
      </c>
      <c r="G7" s="44">
        <f t="shared" si="0"/>
        <v>2.9325E-2</v>
      </c>
      <c r="I7" s="38" t="s">
        <v>18</v>
      </c>
      <c r="J7" s="50">
        <f>F47</f>
        <v>1.243525</v>
      </c>
      <c r="K7" s="51">
        <f>G47</f>
        <v>0.31088125</v>
      </c>
    </row>
    <row r="8" spans="2:11" ht="15.75" thickBot="1" x14ac:dyDescent="0.3">
      <c r="B8" s="9" t="s">
        <v>5</v>
      </c>
      <c r="C8" s="3">
        <v>120</v>
      </c>
      <c r="D8" s="2">
        <v>0.99</v>
      </c>
      <c r="E8" s="26" t="s">
        <v>46</v>
      </c>
      <c r="F8" s="43">
        <f>D8*0.12</f>
        <v>0.11879999999999999</v>
      </c>
      <c r="G8" s="44">
        <f t="shared" si="0"/>
        <v>2.9699999999999997E-2</v>
      </c>
      <c r="I8" s="35" t="s">
        <v>38</v>
      </c>
      <c r="J8" s="46">
        <f>SUM(J4:J7)</f>
        <v>8.7580249999999999</v>
      </c>
      <c r="K8" s="52">
        <f>SUM(K4:K7)</f>
        <v>2.18950625</v>
      </c>
    </row>
    <row r="9" spans="2:11" x14ac:dyDescent="0.25">
      <c r="B9" s="9" t="s">
        <v>6</v>
      </c>
      <c r="C9" s="3">
        <v>120</v>
      </c>
      <c r="D9" s="2">
        <v>1.99</v>
      </c>
      <c r="E9" s="26" t="s">
        <v>47</v>
      </c>
      <c r="F9" s="43">
        <f>D9*0.12</f>
        <v>0.23879999999999998</v>
      </c>
      <c r="G9" s="44">
        <f t="shared" si="0"/>
        <v>5.9699999999999996E-2</v>
      </c>
    </row>
    <row r="10" spans="2:11" x14ac:dyDescent="0.25">
      <c r="B10" s="9" t="s">
        <v>7</v>
      </c>
      <c r="C10" s="3">
        <v>5</v>
      </c>
      <c r="D10" s="2">
        <v>4.99</v>
      </c>
      <c r="E10" s="26" t="s">
        <v>48</v>
      </c>
      <c r="F10" s="43">
        <f>D10*0.05</f>
        <v>0.24950000000000003</v>
      </c>
      <c r="G10" s="44">
        <f t="shared" si="0"/>
        <v>6.2375000000000007E-2</v>
      </c>
    </row>
    <row r="11" spans="2:11" ht="15.75" thickBot="1" x14ac:dyDescent="0.3">
      <c r="B11" s="11" t="s">
        <v>8</v>
      </c>
      <c r="C11" s="12">
        <v>25</v>
      </c>
      <c r="D11" s="13">
        <v>3.29</v>
      </c>
      <c r="E11" s="27" t="s">
        <v>49</v>
      </c>
      <c r="F11" s="45">
        <f>D11*0.25</f>
        <v>0.82250000000000001</v>
      </c>
      <c r="G11" s="44">
        <f t="shared" si="0"/>
        <v>0.205625</v>
      </c>
    </row>
    <row r="12" spans="2:11" ht="15.75" thickBot="1" x14ac:dyDescent="0.3">
      <c r="B12" s="15" t="s">
        <v>36</v>
      </c>
      <c r="C12" s="16">
        <f>SUM(C5:C11)</f>
        <v>860</v>
      </c>
      <c r="D12" s="16">
        <f t="shared" ref="D12:G12" si="1">SUM(D5:D11)</f>
        <v>13.93</v>
      </c>
      <c r="E12" s="16"/>
      <c r="F12" s="46">
        <f t="shared" si="1"/>
        <v>1.9687000000000001</v>
      </c>
      <c r="G12" s="46">
        <f t="shared" si="1"/>
        <v>0.49217500000000003</v>
      </c>
    </row>
    <row r="14" spans="2:11" ht="15.75" thickBot="1" x14ac:dyDescent="0.3">
      <c r="B14" s="1" t="s">
        <v>16</v>
      </c>
    </row>
    <row r="15" spans="2:11" ht="15.75" thickBot="1" x14ac:dyDescent="0.3">
      <c r="C15" s="54" t="s">
        <v>2</v>
      </c>
      <c r="D15" s="55"/>
      <c r="E15" s="57"/>
      <c r="F15" s="57"/>
      <c r="G15" s="4" t="s">
        <v>11</v>
      </c>
    </row>
    <row r="16" spans="2:11" x14ac:dyDescent="0.25">
      <c r="B16" s="8" t="s">
        <v>1</v>
      </c>
      <c r="C16" s="7" t="s">
        <v>9</v>
      </c>
      <c r="D16" s="2" t="s">
        <v>43</v>
      </c>
      <c r="E16" s="26"/>
      <c r="F16" s="26" t="s">
        <v>42</v>
      </c>
      <c r="G16" s="5" t="s">
        <v>42</v>
      </c>
    </row>
    <row r="17" spans="2:7" x14ac:dyDescent="0.25">
      <c r="B17" s="9" t="s">
        <v>50</v>
      </c>
      <c r="C17" s="3">
        <v>430</v>
      </c>
      <c r="D17" s="2">
        <v>7.89</v>
      </c>
      <c r="E17" s="26" t="s">
        <v>46</v>
      </c>
      <c r="F17" s="43">
        <f>D17*0.43</f>
        <v>3.3926999999999996</v>
      </c>
      <c r="G17" s="44">
        <f>F17/4</f>
        <v>0.8481749999999999</v>
      </c>
    </row>
    <row r="18" spans="2:7" x14ac:dyDescent="0.25">
      <c r="B18" s="9" t="s">
        <v>3</v>
      </c>
      <c r="C18" s="3">
        <v>190</v>
      </c>
      <c r="D18" s="2">
        <v>0.89</v>
      </c>
      <c r="E18" s="26" t="s">
        <v>46</v>
      </c>
      <c r="F18" s="43">
        <f>D18*0.19</f>
        <v>0.1691</v>
      </c>
      <c r="G18" s="44">
        <f t="shared" ref="G18:G26" si="2">F18/4</f>
        <v>4.2275E-2</v>
      </c>
    </row>
    <row r="19" spans="2:7" x14ac:dyDescent="0.25">
      <c r="B19" s="9" t="s">
        <v>20</v>
      </c>
      <c r="C19" s="3">
        <v>190</v>
      </c>
      <c r="D19" s="2">
        <v>0.99</v>
      </c>
      <c r="E19" s="26" t="s">
        <v>46</v>
      </c>
      <c r="F19" s="43">
        <f>D19*0.19</f>
        <v>0.18809999999999999</v>
      </c>
      <c r="G19" s="44">
        <f t="shared" si="2"/>
        <v>4.7024999999999997E-2</v>
      </c>
    </row>
    <row r="20" spans="2:7" x14ac:dyDescent="0.25">
      <c r="B20" s="9" t="s">
        <v>21</v>
      </c>
      <c r="C20" s="3">
        <v>110</v>
      </c>
      <c r="D20" s="2">
        <v>1.69</v>
      </c>
      <c r="E20" s="26" t="s">
        <v>46</v>
      </c>
      <c r="F20" s="43">
        <f>D20*0.11</f>
        <v>0.18589999999999998</v>
      </c>
      <c r="G20" s="44">
        <f t="shared" si="2"/>
        <v>4.6474999999999995E-2</v>
      </c>
    </row>
    <row r="21" spans="2:7" x14ac:dyDescent="0.25">
      <c r="B21" s="9" t="s">
        <v>12</v>
      </c>
      <c r="C21" s="3">
        <v>120</v>
      </c>
      <c r="D21" s="2">
        <v>1.0900000000000001</v>
      </c>
      <c r="E21" s="26" t="s">
        <v>46</v>
      </c>
      <c r="F21" s="43">
        <f>D21*0.12</f>
        <v>0.1308</v>
      </c>
      <c r="G21" s="44">
        <f t="shared" si="2"/>
        <v>3.27E-2</v>
      </c>
    </row>
    <row r="22" spans="2:7" x14ac:dyDescent="0.25">
      <c r="B22" s="9" t="s">
        <v>22</v>
      </c>
      <c r="C22" s="3">
        <v>30</v>
      </c>
      <c r="D22" s="2">
        <v>1.49</v>
      </c>
      <c r="E22" s="26" t="s">
        <v>46</v>
      </c>
      <c r="F22" s="43">
        <f>D22*0.03</f>
        <v>4.4699999999999997E-2</v>
      </c>
      <c r="G22" s="44">
        <f t="shared" si="2"/>
        <v>1.1174999999999999E-2</v>
      </c>
    </row>
    <row r="23" spans="2:7" x14ac:dyDescent="0.25">
      <c r="B23" s="11" t="s">
        <v>23</v>
      </c>
      <c r="C23" s="12">
        <v>15</v>
      </c>
      <c r="D23" s="13">
        <v>4.99</v>
      </c>
      <c r="E23" s="27" t="s">
        <v>51</v>
      </c>
      <c r="F23" s="45">
        <f>D23*0.015</f>
        <v>7.485E-2</v>
      </c>
      <c r="G23" s="44">
        <f t="shared" si="2"/>
        <v>1.87125E-2</v>
      </c>
    </row>
    <row r="24" spans="2:7" x14ac:dyDescent="0.25">
      <c r="B24" s="11" t="s">
        <v>8</v>
      </c>
      <c r="C24" s="12">
        <v>50</v>
      </c>
      <c r="D24" s="13">
        <v>3.29</v>
      </c>
      <c r="E24" s="27" t="s">
        <v>52</v>
      </c>
      <c r="F24" s="45">
        <f>D24*0.05</f>
        <v>0.16450000000000001</v>
      </c>
      <c r="G24" s="44">
        <f t="shared" si="2"/>
        <v>4.1125000000000002E-2</v>
      </c>
    </row>
    <row r="25" spans="2:7" x14ac:dyDescent="0.25">
      <c r="B25" s="11" t="s">
        <v>24</v>
      </c>
      <c r="C25" s="12">
        <v>10</v>
      </c>
      <c r="D25" s="13">
        <v>0.99</v>
      </c>
      <c r="E25" s="27" t="s">
        <v>53</v>
      </c>
      <c r="F25" s="45">
        <f>D25*0.01</f>
        <v>9.9000000000000008E-3</v>
      </c>
      <c r="G25" s="44">
        <f t="shared" si="2"/>
        <v>2.4750000000000002E-3</v>
      </c>
    </row>
    <row r="26" spans="2:7" ht="15.75" thickBot="1" x14ac:dyDescent="0.3">
      <c r="B26" s="10" t="s">
        <v>25</v>
      </c>
      <c r="C26" s="12">
        <v>4</v>
      </c>
      <c r="D26" s="13">
        <v>0.39</v>
      </c>
      <c r="E26" s="27" t="s">
        <v>46</v>
      </c>
      <c r="F26" s="45">
        <f>D26*0.004</f>
        <v>1.5600000000000002E-3</v>
      </c>
      <c r="G26" s="44">
        <f t="shared" si="2"/>
        <v>3.9000000000000005E-4</v>
      </c>
    </row>
    <row r="27" spans="2:7" ht="15.75" thickBot="1" x14ac:dyDescent="0.3">
      <c r="B27" s="15" t="s">
        <v>36</v>
      </c>
      <c r="C27" s="17">
        <f>SUM(C17:C25)</f>
        <v>1145</v>
      </c>
      <c r="D27" s="17">
        <f t="shared" ref="D27:F27" si="3">SUM(D17:D25)</f>
        <v>23.31</v>
      </c>
      <c r="E27" s="17">
        <f t="shared" si="3"/>
        <v>0</v>
      </c>
      <c r="F27" s="53">
        <f t="shared" si="3"/>
        <v>4.360549999999999</v>
      </c>
      <c r="G27" s="53">
        <f>SUM(G17:G25)</f>
        <v>1.0901374999999998</v>
      </c>
    </row>
    <row r="29" spans="2:7" ht="15.75" thickBot="1" x14ac:dyDescent="0.3">
      <c r="B29" s="1" t="s">
        <v>17</v>
      </c>
    </row>
    <row r="30" spans="2:7" ht="15.75" thickBot="1" x14ac:dyDescent="0.3">
      <c r="C30" s="54" t="s">
        <v>2</v>
      </c>
      <c r="D30" s="55"/>
      <c r="E30" s="57"/>
      <c r="F30" s="57"/>
      <c r="G30" s="4" t="s">
        <v>11</v>
      </c>
    </row>
    <row r="31" spans="2:7" x14ac:dyDescent="0.25">
      <c r="B31" s="8" t="s">
        <v>1</v>
      </c>
      <c r="C31" s="7" t="s">
        <v>9</v>
      </c>
      <c r="D31" s="2" t="s">
        <v>43</v>
      </c>
      <c r="E31" s="26"/>
      <c r="F31" s="26" t="s">
        <v>42</v>
      </c>
      <c r="G31" s="5" t="s">
        <v>42</v>
      </c>
    </row>
    <row r="32" spans="2:7" x14ac:dyDescent="0.25">
      <c r="B32" s="9" t="s">
        <v>27</v>
      </c>
      <c r="C32" s="3">
        <v>400</v>
      </c>
      <c r="D32" s="2">
        <v>0.99</v>
      </c>
      <c r="E32" s="26" t="s">
        <v>46</v>
      </c>
      <c r="F32" s="43">
        <f>D32*0.4</f>
        <v>0.39600000000000002</v>
      </c>
      <c r="G32" s="44">
        <f>F32/4</f>
        <v>9.9000000000000005E-2</v>
      </c>
    </row>
    <row r="33" spans="2:7" x14ac:dyDescent="0.25">
      <c r="B33" s="9" t="s">
        <v>28</v>
      </c>
      <c r="C33" s="3">
        <v>170</v>
      </c>
      <c r="D33" s="2">
        <v>1.29</v>
      </c>
      <c r="E33" s="26" t="s">
        <v>46</v>
      </c>
      <c r="F33" s="43">
        <f>D33*0.17</f>
        <v>0.21930000000000002</v>
      </c>
      <c r="G33" s="44">
        <f t="shared" ref="G33:G36" si="4">F33/4</f>
        <v>5.4825000000000006E-2</v>
      </c>
    </row>
    <row r="34" spans="2:7" x14ac:dyDescent="0.25">
      <c r="B34" s="9" t="s">
        <v>29</v>
      </c>
      <c r="C34" s="3">
        <v>170</v>
      </c>
      <c r="D34" s="2">
        <v>0.89</v>
      </c>
      <c r="E34" s="26" t="s">
        <v>46</v>
      </c>
      <c r="F34" s="43">
        <f>D34*0.17</f>
        <v>0.15130000000000002</v>
      </c>
      <c r="G34" s="44">
        <f t="shared" si="4"/>
        <v>3.7825000000000004E-2</v>
      </c>
    </row>
    <row r="35" spans="2:7" x14ac:dyDescent="0.25">
      <c r="B35" s="9" t="s">
        <v>44</v>
      </c>
      <c r="C35" s="3">
        <v>180</v>
      </c>
      <c r="D35" s="2">
        <v>2.29</v>
      </c>
      <c r="E35" s="26" t="s">
        <v>46</v>
      </c>
      <c r="F35" s="43">
        <f>D35*0.18</f>
        <v>0.41220000000000001</v>
      </c>
      <c r="G35" s="44">
        <f t="shared" si="4"/>
        <v>0.10305</v>
      </c>
    </row>
    <row r="36" spans="2:7" ht="15.75" thickBot="1" x14ac:dyDescent="0.3">
      <c r="B36" s="10" t="s">
        <v>30</v>
      </c>
      <c r="C36" s="12">
        <v>5</v>
      </c>
      <c r="D36" s="13">
        <v>1.29</v>
      </c>
      <c r="E36" s="27" t="s">
        <v>54</v>
      </c>
      <c r="F36" s="45">
        <f>D36*0.005</f>
        <v>6.45E-3</v>
      </c>
      <c r="G36" s="44">
        <f t="shared" si="4"/>
        <v>1.6125E-3</v>
      </c>
    </row>
    <row r="37" spans="2:7" ht="15.75" thickBot="1" x14ac:dyDescent="0.3">
      <c r="B37" s="15" t="s">
        <v>36</v>
      </c>
      <c r="C37" s="17">
        <f>SUM(C32:C36)</f>
        <v>925</v>
      </c>
      <c r="D37" s="17">
        <f t="shared" ref="D37:G37" si="5">SUM(D32:D36)</f>
        <v>6.7500000000000009</v>
      </c>
      <c r="E37" s="17">
        <f t="shared" si="5"/>
        <v>0</v>
      </c>
      <c r="F37" s="53">
        <f t="shared" si="5"/>
        <v>1.1852500000000001</v>
      </c>
      <c r="G37" s="53">
        <f t="shared" si="5"/>
        <v>0.29631250000000003</v>
      </c>
    </row>
    <row r="39" spans="2:7" ht="15.75" thickBot="1" x14ac:dyDescent="0.3">
      <c r="B39" s="1" t="s">
        <v>18</v>
      </c>
    </row>
    <row r="40" spans="2:7" ht="15.75" thickBot="1" x14ac:dyDescent="0.3">
      <c r="C40" s="54" t="s">
        <v>2</v>
      </c>
      <c r="D40" s="55"/>
      <c r="E40" s="57"/>
      <c r="F40" s="57"/>
      <c r="G40" s="4" t="s">
        <v>11</v>
      </c>
    </row>
    <row r="41" spans="2:7" x14ac:dyDescent="0.25">
      <c r="B41" s="8" t="s">
        <v>1</v>
      </c>
      <c r="C41" s="7" t="s">
        <v>9</v>
      </c>
      <c r="D41" s="2" t="s">
        <v>43</v>
      </c>
      <c r="E41" s="26"/>
      <c r="F41" s="26" t="s">
        <v>42</v>
      </c>
      <c r="G41" s="5" t="s">
        <v>42</v>
      </c>
    </row>
    <row r="42" spans="2:7" x14ac:dyDescent="0.25">
      <c r="B42" s="9" t="s">
        <v>31</v>
      </c>
      <c r="C42" s="3">
        <v>260</v>
      </c>
      <c r="D42" s="2">
        <v>3.49</v>
      </c>
      <c r="E42" s="26" t="s">
        <v>46</v>
      </c>
      <c r="F42" s="43">
        <f>D42*0.26</f>
        <v>0.9074000000000001</v>
      </c>
      <c r="G42" s="44">
        <f>F42/4</f>
        <v>0.22685000000000002</v>
      </c>
    </row>
    <row r="43" spans="2:7" x14ac:dyDescent="0.25">
      <c r="B43" s="9" t="s">
        <v>32</v>
      </c>
      <c r="C43" s="3">
        <v>125</v>
      </c>
      <c r="D43" s="2">
        <f>1.34/4</f>
        <v>0.33500000000000002</v>
      </c>
      <c r="E43" s="26" t="s">
        <v>46</v>
      </c>
      <c r="F43" s="43">
        <f>D43*0.125</f>
        <v>4.1875000000000002E-2</v>
      </c>
      <c r="G43" s="44">
        <f t="shared" ref="G43:G46" si="6">F43/4</f>
        <v>1.0468750000000001E-2</v>
      </c>
    </row>
    <row r="44" spans="2:7" x14ac:dyDescent="0.25">
      <c r="B44" s="9" t="s">
        <v>33</v>
      </c>
      <c r="C44" s="3">
        <v>120</v>
      </c>
      <c r="D44" s="2">
        <v>2.29</v>
      </c>
      <c r="E44" s="26" t="s">
        <v>46</v>
      </c>
      <c r="F44" s="43">
        <f>D44*0.12</f>
        <v>0.27479999999999999</v>
      </c>
      <c r="G44" s="44">
        <f t="shared" si="6"/>
        <v>6.8699999999999997E-2</v>
      </c>
    </row>
    <row r="45" spans="2:7" x14ac:dyDescent="0.25">
      <c r="B45" s="9" t="s">
        <v>35</v>
      </c>
      <c r="C45" s="3">
        <v>20</v>
      </c>
      <c r="D45" s="2">
        <v>0.75</v>
      </c>
      <c r="E45" s="26" t="s">
        <v>55</v>
      </c>
      <c r="F45" s="43">
        <f>D45*0.02</f>
        <v>1.4999999999999999E-2</v>
      </c>
      <c r="G45" s="44">
        <f t="shared" si="6"/>
        <v>3.7499999999999999E-3</v>
      </c>
    </row>
    <row r="46" spans="2:7" ht="15.75" thickBot="1" x14ac:dyDescent="0.3">
      <c r="B46" s="10" t="s">
        <v>34</v>
      </c>
      <c r="C46" s="12">
        <v>5</v>
      </c>
      <c r="D46" s="13">
        <v>0.89</v>
      </c>
      <c r="E46" s="27" t="s">
        <v>56</v>
      </c>
      <c r="F46" s="45">
        <f>D46*0.005</f>
        <v>4.45E-3</v>
      </c>
      <c r="G46" s="44">
        <f t="shared" si="6"/>
        <v>1.1125E-3</v>
      </c>
    </row>
    <row r="47" spans="2:7" ht="15.75" thickBot="1" x14ac:dyDescent="0.3">
      <c r="B47" s="15" t="s">
        <v>36</v>
      </c>
      <c r="C47" s="17">
        <f>SUM(C42:C46)</f>
        <v>530</v>
      </c>
      <c r="D47" s="17">
        <f t="shared" ref="D47:G47" si="7">SUM(D42:D46)</f>
        <v>7.7549999999999999</v>
      </c>
      <c r="E47" s="17">
        <f t="shared" si="7"/>
        <v>0</v>
      </c>
      <c r="F47" s="53">
        <f t="shared" si="7"/>
        <v>1.243525</v>
      </c>
      <c r="G47" s="53">
        <f t="shared" si="7"/>
        <v>0.31088125</v>
      </c>
    </row>
  </sheetData>
  <mergeCells count="4">
    <mergeCell ref="C40:F40"/>
    <mergeCell ref="C3:F3"/>
    <mergeCell ref="C15:F15"/>
    <mergeCell ref="C30:F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nutrientes</vt:lpstr>
      <vt:lpstr>preço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Márcia Guilherme</cp:lastModifiedBy>
  <dcterms:created xsi:type="dcterms:W3CDTF">2019-02-26T12:52:10Z</dcterms:created>
  <dcterms:modified xsi:type="dcterms:W3CDTF">2019-02-28T23:00:41Z</dcterms:modified>
</cp:coreProperties>
</file>