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\Desktop\Estágio EHTC\Restauração\Concurso Eco-Ementa\"/>
    </mc:Choice>
  </mc:AlternateContent>
  <xr:revisionPtr revIDLastSave="0" documentId="13_ncr:1_{CDCF1954-188C-4472-9D9F-5DA48EEBB9C4}" xr6:coauthVersionLast="40" xr6:coauthVersionMax="40" xr10:uidLastSave="{00000000-0000-0000-0000-000000000000}"/>
  <bookViews>
    <workbookView xWindow="-120" yWindow="-120" windowWidth="20730" windowHeight="11760" xr2:uid="{00000000-000D-0000-FFFF-FFFF00000000}"/>
  </bookViews>
  <sheets>
    <sheet name="Folha1" sheetId="1" r:id="rId1"/>
    <sheet name="Folha2" sheetId="2" r:id="rId2"/>
    <sheet name="Folha3" sheetId="3" r:id="rId3"/>
  </sheets>
  <calcPr calcId="181029"/>
</workbook>
</file>

<file path=xl/calcChain.xml><?xml version="1.0" encoding="utf-8"?>
<calcChain xmlns="http://schemas.openxmlformats.org/spreadsheetml/2006/main">
  <c r="AC81" i="1" l="1"/>
  <c r="AC82" i="1"/>
  <c r="AC83" i="1"/>
  <c r="AC84" i="1"/>
  <c r="AC85" i="1"/>
  <c r="AC86" i="1"/>
  <c r="AC87" i="1"/>
  <c r="AC80" i="1"/>
  <c r="AC79" i="1"/>
  <c r="P53" i="1"/>
  <c r="P103" i="1"/>
  <c r="P102" i="1"/>
  <c r="P104" i="1"/>
  <c r="P105" i="1"/>
  <c r="P106" i="1"/>
  <c r="P107" i="1"/>
  <c r="P101" i="1"/>
  <c r="P100" i="1"/>
  <c r="P82" i="1"/>
  <c r="P80" i="1"/>
  <c r="P79" i="1"/>
  <c r="P55" i="1"/>
  <c r="P54" i="1"/>
  <c r="P56" i="1"/>
  <c r="P57" i="1"/>
  <c r="P58" i="1"/>
  <c r="P59" i="1"/>
  <c r="P60" i="1"/>
  <c r="P61" i="1"/>
  <c r="P62" i="1"/>
  <c r="P52" i="1"/>
  <c r="P29" i="1"/>
  <c r="P34" i="1"/>
  <c r="P30" i="1"/>
  <c r="P31" i="1"/>
  <c r="P32" i="1"/>
  <c r="P33" i="1"/>
  <c r="P28" i="1"/>
  <c r="P9" i="1" l="1"/>
  <c r="P8" i="1"/>
  <c r="P7" i="1"/>
  <c r="G103" i="1"/>
  <c r="G104" i="1"/>
  <c r="G105" i="1"/>
  <c r="G106" i="1"/>
  <c r="G107" i="1"/>
  <c r="G101" i="1"/>
  <c r="G100" i="1"/>
  <c r="E102" i="1"/>
  <c r="E103" i="1"/>
  <c r="E104" i="1"/>
  <c r="E105" i="1"/>
  <c r="E106" i="1"/>
  <c r="E107" i="1"/>
  <c r="E101" i="1"/>
  <c r="E100" i="1"/>
  <c r="G81" i="1"/>
  <c r="G82" i="1"/>
  <c r="G80" i="1"/>
  <c r="G79" i="1"/>
  <c r="E81" i="1"/>
  <c r="E82" i="1"/>
  <c r="E80" i="1"/>
  <c r="E79" i="1"/>
  <c r="G58" i="1"/>
  <c r="G59" i="1"/>
  <c r="G60" i="1"/>
  <c r="G61" i="1"/>
  <c r="G62" i="1"/>
  <c r="E54" i="1"/>
  <c r="E55" i="1"/>
  <c r="E56" i="1"/>
  <c r="E57" i="1"/>
  <c r="E58" i="1"/>
  <c r="E59" i="1"/>
  <c r="E60" i="1"/>
  <c r="E61" i="1"/>
  <c r="E62" i="1"/>
  <c r="E53" i="1"/>
  <c r="E52" i="1"/>
  <c r="G31" i="1"/>
  <c r="G32" i="1"/>
  <c r="G33" i="1"/>
  <c r="G34" i="1"/>
  <c r="E30" i="1"/>
  <c r="E31" i="1"/>
  <c r="E32" i="1"/>
  <c r="E33" i="1"/>
  <c r="E34" i="1"/>
  <c r="E29" i="1"/>
  <c r="E28" i="1"/>
  <c r="G9" i="1"/>
  <c r="G8" i="1"/>
  <c r="E9" i="1"/>
  <c r="E8" i="1"/>
  <c r="E7" i="1"/>
  <c r="P10" i="1" l="1"/>
  <c r="O80" i="1"/>
  <c r="AA83" i="1"/>
  <c r="Z83" i="1"/>
  <c r="Y83" i="1"/>
  <c r="X83" i="1"/>
  <c r="W83" i="1"/>
  <c r="V83" i="1"/>
  <c r="AB83" i="1"/>
  <c r="X84" i="1"/>
  <c r="AB84" i="1"/>
  <c r="AB88" i="1" s="1"/>
  <c r="AB89" i="1" s="1"/>
  <c r="AA84" i="1"/>
  <c r="Z84" i="1"/>
  <c r="W84" i="1"/>
  <c r="V84" i="1"/>
  <c r="V88" i="1" s="1"/>
  <c r="V89" i="1" s="1"/>
  <c r="X87" i="1"/>
  <c r="Y87" i="1"/>
  <c r="Z87" i="1"/>
  <c r="AA87" i="1"/>
  <c r="AB87" i="1"/>
  <c r="Y86" i="1"/>
  <c r="Z86" i="1"/>
  <c r="AA86" i="1"/>
  <c r="AB85" i="1"/>
  <c r="AA85" i="1"/>
  <c r="Y85" i="1"/>
  <c r="Z85" i="1"/>
  <c r="W85" i="1"/>
  <c r="X85" i="1"/>
  <c r="V85" i="1"/>
  <c r="AB82" i="1"/>
  <c r="Z82" i="1"/>
  <c r="Y82" i="1"/>
  <c r="W82" i="1"/>
  <c r="X82" i="1"/>
  <c r="V82" i="1"/>
  <c r="AA82" i="1"/>
  <c r="X86" i="1"/>
  <c r="AB86" i="1" s="1"/>
  <c r="AB81" i="1"/>
  <c r="AA81" i="1"/>
  <c r="Y81" i="1"/>
  <c r="Z81" i="1"/>
  <c r="X81" i="1"/>
  <c r="W81" i="1"/>
  <c r="V81" i="1"/>
  <c r="T80" i="1"/>
  <c r="AA80" i="1" s="1"/>
  <c r="T79" i="1"/>
  <c r="AB79" i="1" s="1"/>
  <c r="M80" i="1"/>
  <c r="L80" i="1"/>
  <c r="K80" i="1"/>
  <c r="J80" i="1"/>
  <c r="I80" i="1"/>
  <c r="K101" i="1"/>
  <c r="N104" i="1"/>
  <c r="O103" i="1"/>
  <c r="N103" i="1"/>
  <c r="M103" i="1"/>
  <c r="I103" i="1"/>
  <c r="K103" i="1"/>
  <c r="J103" i="1"/>
  <c r="N105" i="1"/>
  <c r="O104" i="1"/>
  <c r="M104" i="1"/>
  <c r="K104" i="1"/>
  <c r="J104" i="1"/>
  <c r="I104" i="1"/>
  <c r="K105" i="1"/>
  <c r="J105" i="1"/>
  <c r="I105" i="1"/>
  <c r="O105" i="1"/>
  <c r="L103" i="1"/>
  <c r="L104" i="1"/>
  <c r="L105" i="1"/>
  <c r="M105" i="1"/>
  <c r="K81" i="1"/>
  <c r="J81" i="1"/>
  <c r="O81" i="1"/>
  <c r="I81" i="1"/>
  <c r="H81" i="1"/>
  <c r="P81" i="1" s="1"/>
  <c r="O60" i="1"/>
  <c r="N60" i="1"/>
  <c r="M60" i="1"/>
  <c r="K60" i="1"/>
  <c r="J60" i="1"/>
  <c r="I60" i="1"/>
  <c r="F57" i="1"/>
  <c r="Y88" i="1" l="1"/>
  <c r="Y89" i="1" s="1"/>
  <c r="W88" i="1"/>
  <c r="W89" i="1" s="1"/>
  <c r="X88" i="1"/>
  <c r="X89" i="1" s="1"/>
  <c r="Z88" i="1"/>
  <c r="Z89" i="1" s="1"/>
  <c r="AA88" i="1"/>
  <c r="AA89" i="1" s="1"/>
  <c r="G57" i="1"/>
  <c r="Z79" i="1"/>
  <c r="Y79" i="1"/>
  <c r="V79" i="1"/>
  <c r="AA79" i="1"/>
  <c r="W79" i="1"/>
  <c r="AB80" i="1"/>
  <c r="W80" i="1"/>
  <c r="X80" i="1"/>
  <c r="Z80" i="1"/>
  <c r="Y80" i="1"/>
  <c r="V80" i="1"/>
  <c r="X79" i="1"/>
  <c r="N57" i="1"/>
  <c r="J57" i="1"/>
  <c r="O57" i="1"/>
  <c r="M57" i="1"/>
  <c r="I57" i="1"/>
  <c r="K57" i="1"/>
  <c r="AC88" i="1" l="1"/>
  <c r="AC89" i="1" s="1"/>
  <c r="F56" i="1"/>
  <c r="F55" i="1"/>
  <c r="F53" i="1"/>
  <c r="F54" i="1"/>
  <c r="O8" i="1"/>
  <c r="K8" i="1"/>
  <c r="J8" i="1"/>
  <c r="I8" i="1"/>
  <c r="M8" i="1"/>
  <c r="F102" i="1"/>
  <c r="G102" i="1" s="1"/>
  <c r="J55" i="1" l="1"/>
  <c r="G55" i="1"/>
  <c r="J53" i="1"/>
  <c r="G53" i="1"/>
  <c r="J56" i="1"/>
  <c r="G56" i="1"/>
  <c r="O54" i="1"/>
  <c r="G54" i="1"/>
  <c r="O53" i="1"/>
  <c r="M102" i="1"/>
  <c r="I102" i="1"/>
  <c r="L102" i="1"/>
  <c r="O102" i="1"/>
  <c r="K102" i="1"/>
  <c r="N102" i="1"/>
  <c r="J102" i="1"/>
  <c r="M54" i="1"/>
  <c r="M53" i="1"/>
  <c r="K53" i="1"/>
  <c r="K54" i="1"/>
  <c r="N56" i="1"/>
  <c r="I56" i="1"/>
  <c r="K55" i="1"/>
  <c r="I55" i="1"/>
  <c r="N55" i="1"/>
  <c r="K56" i="1"/>
  <c r="I53" i="1"/>
  <c r="I54" i="1"/>
  <c r="N54" i="1"/>
  <c r="M55" i="1"/>
  <c r="M56" i="1"/>
  <c r="O56" i="1"/>
  <c r="J54" i="1"/>
  <c r="I107" i="1"/>
  <c r="M107" i="1"/>
  <c r="J107" i="1"/>
  <c r="N107" i="1"/>
  <c r="K107" i="1"/>
  <c r="O107" i="1"/>
  <c r="L107" i="1"/>
  <c r="K58" i="1"/>
  <c r="O58" i="1"/>
  <c r="N58" i="1"/>
  <c r="M58" i="1"/>
  <c r="J58" i="1"/>
  <c r="I58" i="1"/>
  <c r="P83" i="1" l="1"/>
  <c r="P84" i="1" s="1"/>
  <c r="N61" i="1" l="1"/>
  <c r="M61" i="1"/>
  <c r="K61" i="1"/>
  <c r="J61" i="1"/>
  <c r="I61" i="1"/>
  <c r="O61" i="1"/>
  <c r="F28" i="1"/>
  <c r="G28" i="1" s="1"/>
  <c r="F30" i="1"/>
  <c r="G30" i="1" s="1"/>
  <c r="F29" i="1"/>
  <c r="G29" i="1" s="1"/>
  <c r="I79" i="1"/>
  <c r="N79" i="1"/>
  <c r="M79" i="1"/>
  <c r="L79" i="1"/>
  <c r="K79" i="1"/>
  <c r="J79" i="1"/>
  <c r="O79" i="1"/>
  <c r="N81" i="1"/>
  <c r="M81" i="1"/>
  <c r="N80" i="1"/>
  <c r="N32" i="1"/>
  <c r="K32" i="1"/>
  <c r="J32" i="1"/>
  <c r="M32" i="1"/>
  <c r="I32" i="1"/>
  <c r="O32" i="1"/>
  <c r="F7" i="1"/>
  <c r="G7" i="1" s="1"/>
  <c r="F52" i="1"/>
  <c r="G52" i="1" s="1"/>
  <c r="O83" i="1" l="1"/>
  <c r="O84" i="1" s="1"/>
  <c r="M28" i="1"/>
  <c r="K52" i="1"/>
  <c r="N101" i="1"/>
  <c r="O7" i="1"/>
  <c r="O10" i="1" s="1"/>
  <c r="O11" i="1" s="1"/>
  <c r="P11" i="1"/>
  <c r="J30" i="1"/>
  <c r="J29" i="1"/>
  <c r="O101" i="1"/>
  <c r="L83" i="1"/>
  <c r="L84" i="1" s="1"/>
  <c r="J28" i="1"/>
  <c r="K108" i="1"/>
  <c r="K109" i="1" s="1"/>
  <c r="M83" i="1"/>
  <c r="M84" i="1" s="1"/>
  <c r="I101" i="1"/>
  <c r="J83" i="1"/>
  <c r="J84" i="1" s="1"/>
  <c r="N83" i="1"/>
  <c r="N84" i="1" s="1"/>
  <c r="J101" i="1"/>
  <c r="K83" i="1"/>
  <c r="K84" i="1" s="1"/>
  <c r="I83" i="1"/>
  <c r="I84" i="1" s="1"/>
  <c r="O55" i="1"/>
  <c r="N53" i="1"/>
  <c r="O28" i="1"/>
  <c r="N28" i="1"/>
  <c r="I28" i="1"/>
  <c r="K28" i="1"/>
  <c r="O30" i="1"/>
  <c r="N30" i="1"/>
  <c r="K30" i="1"/>
  <c r="M30" i="1"/>
  <c r="I30" i="1"/>
  <c r="I29" i="1"/>
  <c r="O29" i="1"/>
  <c r="N29" i="1"/>
  <c r="K29" i="1"/>
  <c r="M29" i="1"/>
  <c r="L101" i="1"/>
  <c r="M101" i="1"/>
  <c r="N52" i="1"/>
  <c r="M52" i="1"/>
  <c r="I52" i="1"/>
  <c r="J52" i="1"/>
  <c r="O52" i="1"/>
  <c r="J7" i="1"/>
  <c r="K7" i="1"/>
  <c r="K10" i="1" s="1"/>
  <c r="K11" i="1" s="1"/>
  <c r="M7" i="1"/>
  <c r="I7" i="1"/>
  <c r="I10" i="1" s="1"/>
  <c r="I11" i="1" s="1"/>
  <c r="N7" i="1"/>
  <c r="J35" i="1" l="1"/>
  <c r="N108" i="1"/>
  <c r="N109" i="1" s="1"/>
  <c r="P63" i="1"/>
  <c r="P64" i="1" s="1"/>
  <c r="P108" i="1"/>
  <c r="P109" i="1" s="1"/>
  <c r="J108" i="1"/>
  <c r="J109" i="1" s="1"/>
  <c r="P35" i="1"/>
  <c r="I108" i="1"/>
  <c r="I109" i="1" s="1"/>
  <c r="M108" i="1"/>
  <c r="M109" i="1" s="1"/>
  <c r="L108" i="1"/>
  <c r="L109" i="1" s="1"/>
  <c r="O108" i="1"/>
  <c r="O109" i="1" s="1"/>
  <c r="M35" i="1"/>
  <c r="K63" i="1"/>
  <c r="K64" i="1" s="1"/>
  <c r="M10" i="1"/>
  <c r="M11" i="1" s="1"/>
  <c r="I35" i="1"/>
  <c r="J63" i="1"/>
  <c r="J64" i="1" s="1"/>
  <c r="K35" i="1"/>
  <c r="K36" i="1" s="1"/>
  <c r="O35" i="1"/>
  <c r="N10" i="1"/>
  <c r="N11" i="1" s="1"/>
  <c r="J10" i="1"/>
  <c r="J11" i="1" s="1"/>
  <c r="M63" i="1"/>
  <c r="M64" i="1" s="1"/>
  <c r="N63" i="1"/>
  <c r="N64" i="1" s="1"/>
  <c r="O63" i="1"/>
  <c r="O64" i="1" s="1"/>
  <c r="N35" i="1"/>
  <c r="I63" i="1"/>
  <c r="I64" i="1" s="1"/>
  <c r="M36" i="1" l="1"/>
  <c r="K124" i="1"/>
  <c r="P36" i="1"/>
  <c r="O124" i="1"/>
  <c r="N36" i="1"/>
  <c r="M124" i="1"/>
  <c r="I36" i="1"/>
  <c r="H124" i="1"/>
  <c r="O36" i="1"/>
  <c r="N124" i="1"/>
  <c r="N126" i="1" s="1"/>
  <c r="J36" i="1"/>
  <c r="I124" i="1"/>
  <c r="I126" i="1" l="1"/>
  <c r="K126" i="1"/>
  <c r="H126" i="1"/>
</calcChain>
</file>

<file path=xl/sharedStrings.xml><?xml version="1.0" encoding="utf-8"?>
<sst xmlns="http://schemas.openxmlformats.org/spreadsheetml/2006/main" count="218" uniqueCount="87">
  <si>
    <t>Ingredientes</t>
  </si>
  <si>
    <t>Composição Nutricional</t>
  </si>
  <si>
    <t>Total</t>
  </si>
  <si>
    <t>Proteína (g)</t>
  </si>
  <si>
    <t>HC (g)</t>
  </si>
  <si>
    <t>Lípidos (g)</t>
  </si>
  <si>
    <t>Fibra (g)</t>
  </si>
  <si>
    <t>Método Culinário</t>
  </si>
  <si>
    <t>Preparação</t>
  </si>
  <si>
    <t>Alergénios</t>
  </si>
  <si>
    <t>Tomate Cereja</t>
  </si>
  <si>
    <t>Manjericão</t>
  </si>
  <si>
    <t>Courgette</t>
  </si>
  <si>
    <t>Cebola</t>
  </si>
  <si>
    <t>Azeite</t>
  </si>
  <si>
    <t>Sal</t>
  </si>
  <si>
    <t>Hortelã</t>
  </si>
  <si>
    <t>Água</t>
  </si>
  <si>
    <t>Peito Frango</t>
  </si>
  <si>
    <t>Salsa</t>
  </si>
  <si>
    <t>Canela</t>
  </si>
  <si>
    <t xml:space="preserve">FICHA TÉCNICA -Sorbet de Limão cremoso </t>
  </si>
  <si>
    <t>Cru</t>
  </si>
  <si>
    <t>Açúcares (g)</t>
  </si>
  <si>
    <t>Cozido simples</t>
  </si>
  <si>
    <t>1. Lavar a cebola, courgete e ramo de hortelã; 2. Descascar a cebola, retirar os pedúnculos da courgete e cortar em pedaços pequenos; 3. Colocar, numa panela, àgua até ferver e adicionar as ervilhas, a cebola e a courgete; 4. Quando cozidas, triturar tudo e temperar com azeite e sal; 5. Por fim, adicionar as folhas de hortelã, sem talos.</t>
  </si>
  <si>
    <t>Não contém.</t>
  </si>
  <si>
    <t>Cozido a vapor.</t>
  </si>
  <si>
    <t>Açúcar amarelo</t>
  </si>
  <si>
    <t>A refeição contém, ou pode conter, as seguintes substâncias ou produtos e seus derivados: leite e derivados.</t>
  </si>
  <si>
    <t>Sat.</t>
  </si>
  <si>
    <t>VE (kcal)</t>
  </si>
  <si>
    <t>PB (g)</t>
  </si>
  <si>
    <t>PE(g)</t>
  </si>
  <si>
    <t>Preço (uni/kg/L)</t>
  </si>
  <si>
    <t>Custo (€)</t>
  </si>
  <si>
    <t>q.b</t>
  </si>
  <si>
    <t>Limão (sumo)</t>
  </si>
  <si>
    <t>Ervilhas cruas frescas</t>
  </si>
  <si>
    <t>FICHA TÉCNICA - Água aromatizada com Limão, frutos vermelhos, canela e manjericão</t>
  </si>
  <si>
    <t>PB (g/uni)</t>
  </si>
  <si>
    <t>Limão (casca)</t>
  </si>
  <si>
    <t>A refeição contém, ou pode conter, as seguintes substâncias ou produtos e seus derivados: aipo e mostarda.</t>
  </si>
  <si>
    <t>Espinafres</t>
  </si>
  <si>
    <t>FICHA TÉCNICA - Espetadas de Tomate Cereja com requeijão da Serra da Estrela e Manjericão da Horta</t>
  </si>
  <si>
    <t>Requeijão da Serra da Estrela DOP</t>
  </si>
  <si>
    <t>Arroz do Baixo Mondego</t>
  </si>
  <si>
    <t>Pimento Vermelho</t>
  </si>
  <si>
    <t>Pimento Verde</t>
  </si>
  <si>
    <t>FICHA TÉCNICA - Peito de frango cozido a vapor em cama de esparregado de espinafre com arroz de pimentos do Baixo Mondego</t>
  </si>
  <si>
    <t>1. Lavar bem os tomates e o majericão; 2. Retirar os pedúnculos dos tomates e cortá-los ao meio; 3. Cortar o requeijão às rodelas; 4.Picar o manjericão; 5. Numa espetada colocar meio tomate cereja, seguido de uma rodela de requeijão e a outra metado do tomate cereja; 6. Repetir o processor; 7. Colocar o manjericão picado por cima das espetadas.</t>
  </si>
  <si>
    <t>A refeição contém, ou pode conter, as seguintes substâncias ou produtos e seus derivados: Dióxido de enxofre e sulfitos.</t>
  </si>
  <si>
    <t>Óregãos</t>
  </si>
  <si>
    <t>1. Temperar o peito de frango com sal, sumo de limão, azeite, salsa e orégãos; 2. Colocar o peito de frango temperado no forno convetor com o programa de vapor, durante 30 minutos; 3. Lavar a cebola e os pimentos; 4. PIcar a cebola e os pimentos; 5. Num tabuleiro, colocar os espinafres temperados com sal e azeite e levar a cozer a vapor, durante 10 minutos; 6. Numa panela, juntar a cebola, os pimentos e o azeite e deixar refogar; 7. Quando a cebola dourar, adicionar a àgua e temperar com sal; 8.Quando a água ferver, colocar o arroz e deixar cozer. 9. Cozidos os espinafres, trirurar bem e adicionar um pouco de água, se necessário.</t>
  </si>
  <si>
    <t>Mel da Lousã</t>
  </si>
  <si>
    <t>1. Bater o iogurte grego com o sumo de limão, as suas raspas e o mel; 2. Levar ao congelador por 30minutos; 3. Servir com folhas de hortã.</t>
  </si>
  <si>
    <t>Framboesas</t>
  </si>
  <si>
    <t>Mirtilo</t>
  </si>
  <si>
    <t>Amora</t>
  </si>
  <si>
    <t>Morango</t>
  </si>
  <si>
    <t>1. Encher um jarro de água; 2. Colocar as cascas do limão, pau de canela, os frutos vermelhos e as folhas de manjericão; 3. Mexer bem e servir.</t>
  </si>
  <si>
    <t>Total/Pess.</t>
  </si>
  <si>
    <t>Total/4Pess.</t>
  </si>
  <si>
    <t>-</t>
  </si>
  <si>
    <t>Total da refeição/pessoa</t>
  </si>
  <si>
    <t>Composição Nutricional da refeição</t>
  </si>
  <si>
    <t>Iogurte Grego Ligeiro</t>
  </si>
  <si>
    <t>%VET diário</t>
  </si>
  <si>
    <t>Distribuição macronutrientes (%)</t>
  </si>
  <si>
    <t>Clara de ovo</t>
  </si>
  <si>
    <t>Nata</t>
  </si>
  <si>
    <t>Farinha</t>
  </si>
  <si>
    <t>Maçã de Alcobaça (puré)</t>
  </si>
  <si>
    <t>Maçã de Alcobaça (inteira)</t>
  </si>
  <si>
    <t>Cozido no forno e refrigerado em frigorífico</t>
  </si>
  <si>
    <t>Congelação</t>
  </si>
  <si>
    <r>
      <rPr>
        <b/>
        <sz val="10"/>
        <color theme="1"/>
        <rFont val="Calibri"/>
        <family val="2"/>
        <scheme val="minor"/>
      </rPr>
      <t xml:space="preserve">Para o recheio: </t>
    </r>
    <r>
      <rPr>
        <sz val="10"/>
        <color theme="1"/>
        <rFont val="Calibri"/>
        <family val="2"/>
        <scheme val="minor"/>
      </rPr>
      <t xml:space="preserve">1. Assar a maçã inteira em papillote a 140ºc , retirando a pele, as sementes; 2. Triturar as maças e passa-las por um passador de rede (tem de ter um ponto estrada que não descaia); 3. Levar o puré ao frio; 4. Bater a nata com sumo de limão e o açúcar até meia espessura; 5. Bater a clara em castelo; 6. Incorporar as claras no puré; 7. Levar ao frio 1 hora. </t>
    </r>
    <r>
      <rPr>
        <b/>
        <sz val="10"/>
        <color theme="1"/>
        <rFont val="Calibri"/>
        <family val="2"/>
        <scheme val="minor"/>
      </rPr>
      <t xml:space="preserve">Para a massa base: </t>
    </r>
    <r>
      <rPr>
        <sz val="10"/>
        <color theme="1"/>
        <rFont val="Calibri"/>
        <family val="2"/>
        <scheme val="minor"/>
      </rPr>
      <t xml:space="preserve">1. Bater todos os ingredientes(farinha, água e sal) na batedeira, durante 5 minutos, em velocidade 1; 2. Retirar e deixar repousar 15 minutos coberto de película para não secar; 3. Esticar com um rolo até 1 mm de espessura, deixando repousar mais 30 minutos; 4. Estica novamente até ficar transparente; 5. Deixar repousar mais meia hora antes de trabalhar. </t>
    </r>
    <r>
      <rPr>
        <b/>
        <sz val="10"/>
        <color theme="1"/>
        <rFont val="Calibri"/>
        <family val="2"/>
        <scheme val="minor"/>
      </rPr>
      <t xml:space="preserve">Confeção final: </t>
    </r>
    <r>
      <rPr>
        <sz val="10"/>
        <color theme="1"/>
        <rFont val="Calibri"/>
        <family val="2"/>
        <scheme val="minor"/>
      </rPr>
      <t>1. Laminar a maçã com casca em meia lua com 1 cm de espessura e reservar numa taça com água e sumo de limão; 2. Na massa esticada dispor a maçã; 3. Levar ao forno a 180ºc até a maçã começar a caramelizar; 4. Realizar 3 camadas de massa com a mousse como recheio; 5. No topo, dispo 3 apontamento de mousse como forma a suportar a maçã
in natura.</t>
    </r>
  </si>
  <si>
    <t>A refeição contém, ou pode conter, as seguintes substâncias ou produtos e seus derivados: gluten.</t>
  </si>
  <si>
    <t>FICHA TÉCNICA - Tarte de Maçã de Alcobaça (10doses)</t>
  </si>
  <si>
    <t>FICHA TÉCNICA - Creme de ervilhas, cougette e hortelã da horta</t>
  </si>
  <si>
    <t>PB (g) 4pessoas</t>
  </si>
  <si>
    <t>PE (g) 4pessoas</t>
  </si>
  <si>
    <t>P (g)</t>
  </si>
  <si>
    <t>F (g)</t>
  </si>
  <si>
    <t xml:space="preserve">Custo (€) </t>
  </si>
  <si>
    <t>Açúc (g)</t>
  </si>
  <si>
    <t>PE (g/uni)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</si>
</sst>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#,##0.00\ &quot;€&quot;"/>
    <numFmt numFmtId="167" formatCode="0.000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6" fontId="1" fillId="0" borderId="35" xfId="0" applyNumberFormat="1" applyFont="1" applyBorder="1" applyAlignment="1">
      <alignment horizontal="center" vertical="center"/>
    </xf>
    <xf numFmtId="165" fontId="1" fillId="0" borderId="36" xfId="0" applyNumberFormat="1" applyFont="1" applyBorder="1" applyAlignment="1">
      <alignment horizontal="center" vertical="center"/>
    </xf>
    <xf numFmtId="166" fontId="1" fillId="0" borderId="34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4" fontId="0" fillId="0" borderId="0" xfId="0" applyNumberFormat="1"/>
    <xf numFmtId="164" fontId="0" fillId="0" borderId="19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9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164" fontId="0" fillId="0" borderId="4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6" fontId="0" fillId="0" borderId="42" xfId="0" applyNumberFormat="1" applyBorder="1" applyAlignment="1">
      <alignment horizontal="right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164" fontId="0" fillId="0" borderId="2" xfId="0" applyNumberFormat="1" applyBorder="1"/>
    <xf numFmtId="0" fontId="0" fillId="0" borderId="38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166" fontId="1" fillId="0" borderId="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0" xfId="0" applyBorder="1" applyAlignment="1">
      <alignment horizontal="center"/>
    </xf>
    <xf numFmtId="164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166" fontId="1" fillId="4" borderId="3" xfId="0" applyNumberFormat="1" applyFont="1" applyFill="1" applyBorder="1" applyAlignment="1">
      <alignment horizontal="center" vertical="center"/>
    </xf>
    <xf numFmtId="164" fontId="1" fillId="4" borderId="20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28" xfId="0" applyNumberFormat="1" applyFont="1" applyFill="1" applyBorder="1" applyAlignment="1">
      <alignment horizontal="center" vertical="center"/>
    </xf>
    <xf numFmtId="164" fontId="1" fillId="4" borderId="29" xfId="0" applyNumberFormat="1" applyFont="1" applyFill="1" applyBorder="1" applyAlignment="1">
      <alignment horizontal="center" vertical="center"/>
    </xf>
    <xf numFmtId="164" fontId="1" fillId="4" borderId="29" xfId="0" applyNumberFormat="1" applyFont="1" applyFill="1" applyBorder="1" applyAlignment="1">
      <alignment horizontal="center" vertical="center"/>
    </xf>
    <xf numFmtId="164" fontId="1" fillId="4" borderId="18" xfId="0" applyNumberFormat="1" applyFont="1" applyFill="1" applyBorder="1" applyAlignment="1">
      <alignment horizontal="center" vertical="center"/>
    </xf>
    <xf numFmtId="165" fontId="1" fillId="4" borderId="3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166" fontId="1" fillId="4" borderId="5" xfId="0" applyNumberFormat="1" applyFont="1" applyFill="1" applyBorder="1" applyAlignment="1">
      <alignment horizontal="center" vertical="center"/>
    </xf>
    <xf numFmtId="164" fontId="1" fillId="4" borderId="22" xfId="0" applyNumberFormat="1" applyFont="1" applyFill="1" applyBorder="1" applyAlignment="1">
      <alignment horizontal="center" vertical="center"/>
    </xf>
    <xf numFmtId="164" fontId="1" fillId="4" borderId="13" xfId="0" applyNumberFormat="1" applyFont="1" applyFill="1" applyBorder="1" applyAlignment="1">
      <alignment horizontal="center" vertical="center"/>
    </xf>
    <xf numFmtId="164" fontId="1" fillId="4" borderId="27" xfId="0" applyNumberFormat="1" applyFont="1" applyFill="1" applyBorder="1" applyAlignment="1">
      <alignment horizontal="center" vertical="center"/>
    </xf>
    <xf numFmtId="164" fontId="1" fillId="4" borderId="15" xfId="0" applyNumberFormat="1" applyFont="1" applyFill="1" applyBorder="1" applyAlignment="1">
      <alignment horizontal="center" vertical="center"/>
    </xf>
    <xf numFmtId="164" fontId="1" fillId="4" borderId="15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165" fontId="1" fillId="4" borderId="36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65" fontId="1" fillId="4" borderId="21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166" fontId="1" fillId="4" borderId="8" xfId="0" applyNumberFormat="1" applyFont="1" applyFill="1" applyBorder="1" applyAlignment="1">
      <alignment horizontal="center" vertical="center"/>
    </xf>
    <xf numFmtId="164" fontId="1" fillId="4" borderId="2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32" xfId="0" applyNumberFormat="1" applyFont="1" applyFill="1" applyBorder="1" applyAlignment="1">
      <alignment horizontal="center" vertical="center"/>
    </xf>
    <xf numFmtId="164" fontId="1" fillId="4" borderId="26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167" fontId="1" fillId="4" borderId="35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166" fontId="1" fillId="4" borderId="36" xfId="0" applyNumberFormat="1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164" fontId="1" fillId="4" borderId="26" xfId="0" applyNumberFormat="1" applyFont="1" applyFill="1" applyBorder="1" applyAlignment="1">
      <alignment horizontal="center" vertical="center"/>
    </xf>
    <xf numFmtId="166" fontId="1" fillId="4" borderId="35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164" fontId="1" fillId="4" borderId="28" xfId="0" applyNumberFormat="1" applyFont="1" applyFill="1" applyBorder="1" applyAlignment="1">
      <alignment horizontal="center" vertical="center"/>
    </xf>
    <xf numFmtId="166" fontId="1" fillId="4" borderId="34" xfId="0" applyNumberFormat="1" applyFont="1" applyFill="1" applyBorder="1" applyAlignment="1">
      <alignment horizontal="center" vertical="center"/>
    </xf>
    <xf numFmtId="164" fontId="1" fillId="4" borderId="32" xfId="0" applyNumberFormat="1" applyFont="1" applyFill="1" applyBorder="1" applyAlignment="1">
      <alignment horizontal="center" vertical="center"/>
    </xf>
    <xf numFmtId="1" fontId="1" fillId="4" borderId="13" xfId="0" applyNumberFormat="1" applyFont="1" applyFill="1" applyBorder="1" applyAlignment="1">
      <alignment horizontal="center" vertical="center"/>
    </xf>
    <xf numFmtId="1" fontId="1" fillId="4" borderId="25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wrapText="1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164" fontId="1" fillId="4" borderId="27" xfId="0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164" fontId="1" fillId="4" borderId="23" xfId="0" applyNumberFormat="1" applyFont="1" applyFill="1" applyBorder="1" applyAlignment="1">
      <alignment horizontal="center" vertical="center"/>
    </xf>
    <xf numFmtId="166" fontId="1" fillId="4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71</xdr:row>
      <xdr:rowOff>2381</xdr:rowOff>
    </xdr:from>
    <xdr:to>
      <xdr:col>1</xdr:col>
      <xdr:colOff>561975</xdr:colOff>
      <xdr:row>77</xdr:row>
      <xdr:rowOff>4762</xdr:rowOff>
    </xdr:to>
    <xdr:pic>
      <xdr:nvPicPr>
        <xdr:cNvPr id="4" name="Imagem 3" descr="Resultado de imagem para iogurte grego ligeiro">
          <a:extLst>
            <a:ext uri="{FF2B5EF4-FFF2-40B4-BE49-F238E27FC236}">
              <a16:creationId xmlns:a16="http://schemas.microsoft.com/office/drawing/2014/main" id="{3A769F19-CCBC-41B1-B5A9-B110ACBE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59100"/>
          <a:ext cx="1169194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75</xdr:row>
      <xdr:rowOff>148933</xdr:rowOff>
    </xdr:from>
    <xdr:to>
      <xdr:col>1</xdr:col>
      <xdr:colOff>9526</xdr:colOff>
      <xdr:row>78</xdr:row>
      <xdr:rowOff>188271</xdr:rowOff>
    </xdr:to>
    <xdr:pic>
      <xdr:nvPicPr>
        <xdr:cNvPr id="5" name="Imagem 4" descr="https://sonaemcstaticcdn.azureedge.net/images/Continente/Images/Varios/Rotulos/6296377.png">
          <a:extLst>
            <a:ext uri="{FF2B5EF4-FFF2-40B4-BE49-F238E27FC236}">
              <a16:creationId xmlns:a16="http://schemas.microsoft.com/office/drawing/2014/main" id="{C44F649E-68F6-4745-A272-8F5B9E241DE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827" b="21304"/>
        <a:stretch/>
      </xdr:blipFill>
      <xdr:spPr bwMode="auto">
        <a:xfrm>
          <a:off x="38100" y="16922458"/>
          <a:ext cx="581026" cy="629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92869</xdr:rowOff>
    </xdr:from>
    <xdr:to>
      <xdr:col>1</xdr:col>
      <xdr:colOff>552450</xdr:colOff>
      <xdr:row>85</xdr:row>
      <xdr:rowOff>92869</xdr:rowOff>
    </xdr:to>
    <xdr:pic>
      <xdr:nvPicPr>
        <xdr:cNvPr id="7" name="Imagem 6" descr="Imagem relacionada">
          <a:extLst>
            <a:ext uri="{FF2B5EF4-FFF2-40B4-BE49-F238E27FC236}">
              <a16:creationId xmlns:a16="http://schemas.microsoft.com/office/drawing/2014/main" id="{A35E5A36-927E-4D66-95D0-DAA60E76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21213"/>
          <a:ext cx="1159669" cy="1166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228600</xdr:colOff>
      <xdr:row>2</xdr:row>
      <xdr:rowOff>85725</xdr:rowOff>
    </xdr:from>
    <xdr:to>
      <xdr:col>18</xdr:col>
      <xdr:colOff>123826</xdr:colOff>
      <xdr:row>8</xdr:row>
      <xdr:rowOff>161925</xdr:rowOff>
    </xdr:to>
    <xdr:pic>
      <xdr:nvPicPr>
        <xdr:cNvPr id="8" name="Imagem 7" descr="Resultado de imagem para requeijÃ£o serra da estrela">
          <a:extLst>
            <a:ext uri="{FF2B5EF4-FFF2-40B4-BE49-F238E27FC236}">
              <a16:creationId xmlns:a16="http://schemas.microsoft.com/office/drawing/2014/main" id="{8E070066-C9E8-4950-8F0C-173BDD5E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476250"/>
          <a:ext cx="1390650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1206500</xdr:colOff>
      <xdr:row>49</xdr:row>
      <xdr:rowOff>84666</xdr:rowOff>
    </xdr:from>
    <xdr:to>
      <xdr:col>19</xdr:col>
      <xdr:colOff>48683</xdr:colOff>
      <xdr:row>56</xdr:row>
      <xdr:rowOff>171450</xdr:rowOff>
    </xdr:to>
    <xdr:pic>
      <xdr:nvPicPr>
        <xdr:cNvPr id="10" name="Imagem 9" descr="Resultado de imagem para Arroz Mondego">
          <a:extLst>
            <a:ext uri="{FF2B5EF4-FFF2-40B4-BE49-F238E27FC236}">
              <a16:creationId xmlns:a16="http://schemas.microsoft.com/office/drawing/2014/main" id="{E459964E-8C36-4738-9B50-872CA162693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9" t="1765" r="21177" b="-1"/>
        <a:stretch/>
      </xdr:blipFill>
      <xdr:spPr bwMode="auto">
        <a:xfrm>
          <a:off x="10720917" y="10742083"/>
          <a:ext cx="895350" cy="1589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C126"/>
  <sheetViews>
    <sheetView tabSelected="1" topLeftCell="A103" zoomScale="90" zoomScaleNormal="90" workbookViewId="0">
      <selection activeCell="T108" sqref="T108"/>
    </sheetView>
  </sheetViews>
  <sheetFormatPr defaultRowHeight="15" x14ac:dyDescent="0.25"/>
  <cols>
    <col min="2" max="2" width="10.5703125" customWidth="1"/>
    <col min="3" max="3" width="18.42578125" customWidth="1"/>
    <col min="4" max="4" width="8.28515625" customWidth="1"/>
    <col min="5" max="5" width="10.42578125" customWidth="1"/>
    <col min="6" max="6" width="6.85546875" customWidth="1"/>
    <col min="7" max="7" width="11.140625" customWidth="1"/>
    <col min="8" max="8" width="11.5703125" customWidth="1"/>
    <col min="9" max="9" width="6.5703125" customWidth="1"/>
    <col min="10" max="10" width="7.85546875" customWidth="1"/>
    <col min="11" max="11" width="6.85546875" customWidth="1"/>
    <col min="12" max="12" width="5.42578125" customWidth="1"/>
    <col min="13" max="13" width="7.140625" customWidth="1"/>
    <col min="14" max="14" width="6.28515625" customWidth="1"/>
    <col min="15" max="15" width="7.7109375" bestFit="1" customWidth="1"/>
    <col min="16" max="16" width="10.28515625" customWidth="1"/>
    <col min="18" max="18" width="22.42578125" customWidth="1"/>
    <col min="19" max="21" width="8.42578125" customWidth="1"/>
    <col min="22" max="22" width="9.7109375" customWidth="1"/>
    <col min="23" max="23" width="9.42578125" customWidth="1"/>
    <col min="24" max="29" width="8.42578125" customWidth="1"/>
  </cols>
  <sheetData>
    <row r="2" spans="2:22" ht="15.75" thickBot="1" x14ac:dyDescent="0.3"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4"/>
    </row>
    <row r="3" spans="2:22" ht="15.75" thickBot="1" x14ac:dyDescent="0.3">
      <c r="C3" s="92" t="s">
        <v>44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5"/>
    </row>
    <row r="4" spans="2:22" ht="15.75" thickBot="1" x14ac:dyDescent="0.3">
      <c r="C4" s="112" t="s">
        <v>0</v>
      </c>
      <c r="D4" s="113" t="s">
        <v>32</v>
      </c>
      <c r="E4" s="114" t="s">
        <v>80</v>
      </c>
      <c r="F4" s="115" t="s">
        <v>33</v>
      </c>
      <c r="G4" s="116" t="s">
        <v>81</v>
      </c>
      <c r="H4" s="117" t="s">
        <v>34</v>
      </c>
      <c r="I4" s="77" t="s">
        <v>1</v>
      </c>
      <c r="J4" s="78"/>
      <c r="K4" s="78"/>
      <c r="L4" s="78"/>
      <c r="M4" s="78"/>
      <c r="N4" s="78"/>
      <c r="O4" s="78"/>
      <c r="P4" s="119" t="s">
        <v>84</v>
      </c>
      <c r="R4" s="1"/>
      <c r="S4" s="1"/>
      <c r="T4" s="5"/>
      <c r="U4" s="1"/>
      <c r="V4" s="5"/>
    </row>
    <row r="5" spans="2:22" x14ac:dyDescent="0.25">
      <c r="C5" s="112"/>
      <c r="D5" s="120"/>
      <c r="E5" s="121"/>
      <c r="F5" s="122"/>
      <c r="G5" s="123"/>
      <c r="H5" s="117"/>
      <c r="I5" s="112" t="s">
        <v>82</v>
      </c>
      <c r="J5" s="122" t="s">
        <v>4</v>
      </c>
      <c r="K5" s="124" t="s">
        <v>5</v>
      </c>
      <c r="L5" s="125"/>
      <c r="M5" s="126"/>
      <c r="N5" s="122" t="s">
        <v>83</v>
      </c>
      <c r="O5" s="127" t="s">
        <v>31</v>
      </c>
      <c r="P5" s="119"/>
      <c r="R5" s="1"/>
      <c r="S5" s="1"/>
      <c r="T5" s="5"/>
      <c r="U5" s="1"/>
      <c r="V5" s="5"/>
    </row>
    <row r="6" spans="2:22" ht="15.75" thickBot="1" x14ac:dyDescent="0.3">
      <c r="C6" s="118"/>
      <c r="D6" s="128"/>
      <c r="E6" s="129"/>
      <c r="F6" s="130"/>
      <c r="G6" s="131"/>
      <c r="H6" s="132"/>
      <c r="I6" s="112"/>
      <c r="J6" s="122"/>
      <c r="K6" s="133" t="s">
        <v>30</v>
      </c>
      <c r="L6" s="134"/>
      <c r="M6" s="135" t="s">
        <v>2</v>
      </c>
      <c r="N6" s="122"/>
      <c r="O6" s="127"/>
      <c r="P6" s="119"/>
      <c r="R6" s="1"/>
      <c r="S6" s="1"/>
      <c r="T6" s="5"/>
      <c r="U6" s="1"/>
      <c r="V6" s="5"/>
    </row>
    <row r="7" spans="2:22" x14ac:dyDescent="0.25">
      <c r="C7" s="136" t="s">
        <v>10</v>
      </c>
      <c r="D7" s="137">
        <v>60</v>
      </c>
      <c r="E7" s="138">
        <f>D7*4</f>
        <v>240</v>
      </c>
      <c r="F7" s="138">
        <f>D7*85/100</f>
        <v>51</v>
      </c>
      <c r="G7" s="139">
        <f>F7*4</f>
        <v>204</v>
      </c>
      <c r="H7" s="140">
        <v>3.96</v>
      </c>
      <c r="I7" s="141">
        <f>F7*0.8/100</f>
        <v>0.40800000000000003</v>
      </c>
      <c r="J7" s="142">
        <f>F7*3.5/100</f>
        <v>1.7849999999999999</v>
      </c>
      <c r="K7" s="143">
        <f>F7*0/100</f>
        <v>0</v>
      </c>
      <c r="L7" s="144"/>
      <c r="M7" s="145">
        <f>F7*0.3/100</f>
        <v>0.153</v>
      </c>
      <c r="N7" s="146">
        <f>F7*1.3/100</f>
        <v>0.66299999999999992</v>
      </c>
      <c r="O7" s="142">
        <f>F7*19/100</f>
        <v>9.69</v>
      </c>
      <c r="P7" s="147">
        <f>D7*H7/1000</f>
        <v>0.23760000000000001</v>
      </c>
      <c r="S7" s="6"/>
      <c r="T7" s="4"/>
      <c r="U7" s="4"/>
      <c r="V7" s="2"/>
    </row>
    <row r="8" spans="2:22" ht="26.25" customHeight="1" x14ac:dyDescent="0.25">
      <c r="B8" s="1"/>
      <c r="C8" s="148" t="s">
        <v>45</v>
      </c>
      <c r="D8" s="149">
        <v>10</v>
      </c>
      <c r="E8" s="150">
        <f>D8*4</f>
        <v>40</v>
      </c>
      <c r="F8" s="150">
        <v>10</v>
      </c>
      <c r="G8" s="151">
        <f>F8*4</f>
        <v>40</v>
      </c>
      <c r="H8" s="152">
        <v>9.9499999999999993</v>
      </c>
      <c r="I8" s="153">
        <f>F8*29/100</f>
        <v>2.9</v>
      </c>
      <c r="J8" s="154">
        <f>F8*1.7/100</f>
        <v>0.17</v>
      </c>
      <c r="K8" s="155">
        <f>F8*17/100</f>
        <v>1.7</v>
      </c>
      <c r="L8" s="156"/>
      <c r="M8" s="157">
        <f>F8*27/100</f>
        <v>2.7</v>
      </c>
      <c r="N8" s="154"/>
      <c r="O8" s="158">
        <f>F8*363/100</f>
        <v>36.299999999999997</v>
      </c>
      <c r="P8" s="159">
        <f>D8*H8/1000</f>
        <v>9.9500000000000005E-2</v>
      </c>
      <c r="S8" s="4"/>
      <c r="T8" s="4"/>
      <c r="U8" s="4"/>
      <c r="V8" s="4"/>
    </row>
    <row r="9" spans="2:22" ht="15.75" thickBot="1" x14ac:dyDescent="0.3">
      <c r="C9" s="160" t="s">
        <v>11</v>
      </c>
      <c r="D9" s="161">
        <v>0.1</v>
      </c>
      <c r="E9" s="162">
        <f>D9*4</f>
        <v>0.4</v>
      </c>
      <c r="F9" s="163">
        <v>0.1</v>
      </c>
      <c r="G9" s="164">
        <f>F9*4</f>
        <v>0.4</v>
      </c>
      <c r="H9" s="165">
        <v>17.93</v>
      </c>
      <c r="I9" s="166" t="s">
        <v>36</v>
      </c>
      <c r="J9" s="167" t="s">
        <v>36</v>
      </c>
      <c r="K9" s="168" t="s">
        <v>36</v>
      </c>
      <c r="L9" s="169"/>
      <c r="M9" s="167" t="s">
        <v>36</v>
      </c>
      <c r="N9" s="167" t="s">
        <v>36</v>
      </c>
      <c r="O9" s="170" t="s">
        <v>36</v>
      </c>
      <c r="P9" s="171">
        <f>D9*H9/1000</f>
        <v>1.7930000000000001E-3</v>
      </c>
      <c r="S9" s="4"/>
      <c r="T9" s="4"/>
      <c r="U9" s="4"/>
      <c r="V9" s="4"/>
    </row>
    <row r="10" spans="2:22" x14ac:dyDescent="0.25">
      <c r="C10" s="172"/>
      <c r="D10" s="172"/>
      <c r="E10" s="172"/>
      <c r="F10" s="172"/>
      <c r="G10" s="172"/>
      <c r="H10" s="173" t="s">
        <v>61</v>
      </c>
      <c r="I10" s="157">
        <f>SUM(I7:I9)</f>
        <v>3.3079999999999998</v>
      </c>
      <c r="J10" s="154">
        <f>SUM(J7:J9)</f>
        <v>1.9549999999999998</v>
      </c>
      <c r="K10" s="155">
        <f>SUM(K7:L9)</f>
        <v>1.7</v>
      </c>
      <c r="L10" s="156"/>
      <c r="M10" s="154">
        <f>SUM(M7:M9)</f>
        <v>2.8530000000000002</v>
      </c>
      <c r="N10" s="154">
        <f>SUM(N7:N9)</f>
        <v>0.66299999999999992</v>
      </c>
      <c r="O10" s="158">
        <f>SUM(O7:O9)</f>
        <v>45.989999999999995</v>
      </c>
      <c r="P10" s="174">
        <f>SUM(P7:P9)</f>
        <v>0.338893</v>
      </c>
    </row>
    <row r="11" spans="2:22" ht="15.75" thickBot="1" x14ac:dyDescent="0.3">
      <c r="C11" s="172"/>
      <c r="D11" s="172"/>
      <c r="E11" s="172"/>
      <c r="F11" s="172"/>
      <c r="G11" s="172"/>
      <c r="H11" s="175" t="s">
        <v>62</v>
      </c>
      <c r="I11" s="176">
        <f>I10*4</f>
        <v>13.231999999999999</v>
      </c>
      <c r="J11" s="176">
        <f t="shared" ref="J11:O11" si="0">J10*4</f>
        <v>7.8199999999999994</v>
      </c>
      <c r="K11" s="168">
        <f t="shared" si="0"/>
        <v>6.8</v>
      </c>
      <c r="L11" s="169"/>
      <c r="M11" s="176">
        <f t="shared" si="0"/>
        <v>11.412000000000001</v>
      </c>
      <c r="N11" s="176">
        <f t="shared" si="0"/>
        <v>2.6519999999999997</v>
      </c>
      <c r="O11" s="170">
        <f t="shared" si="0"/>
        <v>183.95999999999998</v>
      </c>
      <c r="P11" s="177">
        <f>P10*4</f>
        <v>1.355572</v>
      </c>
      <c r="S11" s="3"/>
      <c r="T11" s="3"/>
      <c r="U11" s="3"/>
      <c r="V11" s="3"/>
    </row>
    <row r="12" spans="2:22" x14ac:dyDescent="0.25"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</row>
    <row r="13" spans="2:22" x14ac:dyDescent="0.25">
      <c r="C13" s="55" t="s">
        <v>7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2:22" x14ac:dyDescent="0.25">
      <c r="C14" s="56" t="s">
        <v>22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2:22" x14ac:dyDescent="0.25">
      <c r="C15" s="55" t="s">
        <v>8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2:22" ht="15" customHeight="1" x14ac:dyDescent="0.25">
      <c r="C16" s="57" t="s">
        <v>50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3:22" ht="46.5" customHeight="1" x14ac:dyDescent="0.25"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3:22" x14ac:dyDescent="0.25">
      <c r="C18" s="55" t="s">
        <v>9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3:22" x14ac:dyDescent="0.25">
      <c r="C19" s="56" t="s">
        <v>29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3:22" x14ac:dyDescent="0.25"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3:22" x14ac:dyDescent="0.25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3:22" x14ac:dyDescent="0.25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3:22" ht="15.75" thickBot="1" x14ac:dyDescent="0.3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3:22" ht="15.75" thickBot="1" x14ac:dyDescent="0.3">
      <c r="C24" s="92" t="s">
        <v>79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4"/>
    </row>
    <row r="25" spans="3:22" ht="15.75" thickBot="1" x14ac:dyDescent="0.3">
      <c r="C25" s="80" t="s">
        <v>0</v>
      </c>
      <c r="D25" s="98" t="s">
        <v>32</v>
      </c>
      <c r="E25" s="49" t="s">
        <v>80</v>
      </c>
      <c r="F25" s="84" t="s">
        <v>33</v>
      </c>
      <c r="G25" s="52" t="s">
        <v>81</v>
      </c>
      <c r="H25" s="101" t="s">
        <v>34</v>
      </c>
      <c r="I25" s="68" t="s">
        <v>1</v>
      </c>
      <c r="J25" s="69"/>
      <c r="K25" s="69"/>
      <c r="L25" s="69"/>
      <c r="M25" s="69"/>
      <c r="N25" s="69"/>
      <c r="O25" s="103"/>
      <c r="P25" s="70" t="s">
        <v>35</v>
      </c>
      <c r="R25" s="1"/>
      <c r="S25" s="1"/>
      <c r="T25" s="5"/>
      <c r="U25" s="1"/>
      <c r="V25" s="5"/>
    </row>
    <row r="26" spans="3:22" x14ac:dyDescent="0.25">
      <c r="C26" s="72"/>
      <c r="D26" s="99"/>
      <c r="E26" s="50"/>
      <c r="F26" s="100"/>
      <c r="G26" s="53"/>
      <c r="H26" s="90"/>
      <c r="I26" s="72" t="s">
        <v>82</v>
      </c>
      <c r="J26" s="100" t="s">
        <v>4</v>
      </c>
      <c r="K26" s="82" t="s">
        <v>5</v>
      </c>
      <c r="L26" s="106"/>
      <c r="M26" s="83"/>
      <c r="N26" s="100" t="s">
        <v>83</v>
      </c>
      <c r="O26" s="90" t="s">
        <v>31</v>
      </c>
      <c r="P26" s="71"/>
      <c r="R26" s="1"/>
      <c r="S26" s="1"/>
      <c r="T26" s="5"/>
      <c r="U26" s="1"/>
      <c r="V26" s="5"/>
    </row>
    <row r="27" spans="3:22" ht="15.75" thickBot="1" x14ac:dyDescent="0.3">
      <c r="C27" s="81"/>
      <c r="D27" s="102"/>
      <c r="E27" s="51"/>
      <c r="F27" s="85"/>
      <c r="G27" s="54"/>
      <c r="H27" s="91"/>
      <c r="I27" s="81"/>
      <c r="J27" s="85"/>
      <c r="K27" s="110" t="s">
        <v>30</v>
      </c>
      <c r="L27" s="111"/>
      <c r="M27" s="20" t="s">
        <v>2</v>
      </c>
      <c r="N27" s="85"/>
      <c r="O27" s="91"/>
      <c r="P27" s="79"/>
      <c r="R27" s="1"/>
      <c r="S27" s="1"/>
      <c r="T27" s="5"/>
      <c r="U27" s="1"/>
      <c r="V27" s="5"/>
    </row>
    <row r="28" spans="3:22" ht="31.5" customHeight="1" x14ac:dyDescent="0.25">
      <c r="C28" s="148" t="s">
        <v>38</v>
      </c>
      <c r="D28" s="149">
        <v>33</v>
      </c>
      <c r="E28" s="150">
        <f>D28*4</f>
        <v>132</v>
      </c>
      <c r="F28" s="150">
        <f>D28*100/100</f>
        <v>33</v>
      </c>
      <c r="G28" s="151">
        <f>F28*4</f>
        <v>132</v>
      </c>
      <c r="H28" s="152">
        <v>0.99</v>
      </c>
      <c r="I28" s="153">
        <f>F28*5.3/100</f>
        <v>1.7490000000000001</v>
      </c>
      <c r="J28" s="154">
        <f>F28*7/100</f>
        <v>2.31</v>
      </c>
      <c r="K28" s="155">
        <f>F28*0.1/100</f>
        <v>3.3000000000000002E-2</v>
      </c>
      <c r="L28" s="156"/>
      <c r="M28" s="154">
        <f>F28*0.5/100</f>
        <v>0.16500000000000001</v>
      </c>
      <c r="N28" s="154">
        <f>F28*7/100</f>
        <v>2.31</v>
      </c>
      <c r="O28" s="158">
        <f>F28*54/100</f>
        <v>17.82</v>
      </c>
      <c r="P28" s="147">
        <f>D28*H28/1000</f>
        <v>3.2670000000000005E-2</v>
      </c>
      <c r="R28" s="7"/>
    </row>
    <row r="29" spans="3:22" x14ac:dyDescent="0.25">
      <c r="C29" s="178" t="s">
        <v>12</v>
      </c>
      <c r="D29" s="149">
        <v>150</v>
      </c>
      <c r="E29" s="150">
        <f>D29*4</f>
        <v>600</v>
      </c>
      <c r="F29" s="150">
        <f>D29*95/100</f>
        <v>142.5</v>
      </c>
      <c r="G29" s="151">
        <f>F29*4</f>
        <v>570</v>
      </c>
      <c r="H29" s="152">
        <v>0.99</v>
      </c>
      <c r="I29" s="153">
        <f>F29*1.6/100</f>
        <v>2.2799999999999998</v>
      </c>
      <c r="J29" s="154">
        <f>F29*2/100</f>
        <v>2.85</v>
      </c>
      <c r="K29" s="155">
        <f>F29*0.1/100</f>
        <v>0.14249999999999999</v>
      </c>
      <c r="L29" s="156"/>
      <c r="M29" s="154">
        <f>F29*0.3/100</f>
        <v>0.42749999999999999</v>
      </c>
      <c r="N29" s="154">
        <f>F29*1/100</f>
        <v>1.425</v>
      </c>
      <c r="O29" s="158">
        <f>F29*17/100</f>
        <v>24.225000000000001</v>
      </c>
      <c r="P29" s="159">
        <f>D29*H29/1000</f>
        <v>0.14849999999999999</v>
      </c>
    </row>
    <row r="30" spans="3:22" x14ac:dyDescent="0.25">
      <c r="C30" s="178" t="s">
        <v>13</v>
      </c>
      <c r="D30" s="149">
        <v>200</v>
      </c>
      <c r="E30" s="150">
        <f t="shared" ref="E30:E34" si="1">D30*4</f>
        <v>800</v>
      </c>
      <c r="F30" s="150">
        <f>D30*89/100</f>
        <v>178</v>
      </c>
      <c r="G30" s="151">
        <f t="shared" ref="G30:G34" si="2">F30*4</f>
        <v>712</v>
      </c>
      <c r="H30" s="152">
        <v>0.25</v>
      </c>
      <c r="I30" s="153">
        <f>F30*0.9/100</f>
        <v>1.6020000000000001</v>
      </c>
      <c r="J30" s="154">
        <f>F30*3.1/100</f>
        <v>5.5180000000000007</v>
      </c>
      <c r="K30" s="155">
        <f>F30*0/100</f>
        <v>0</v>
      </c>
      <c r="L30" s="156"/>
      <c r="M30" s="154">
        <f>F30*0.5/100</f>
        <v>0.89</v>
      </c>
      <c r="N30" s="154">
        <f>F30*1.3/100</f>
        <v>2.3140000000000001</v>
      </c>
      <c r="O30" s="158">
        <f>F30*17/100</f>
        <v>30.26</v>
      </c>
      <c r="P30" s="159">
        <f t="shared" ref="P30:P33" si="3">D30*H30/1000</f>
        <v>0.05</v>
      </c>
    </row>
    <row r="31" spans="3:22" x14ac:dyDescent="0.25">
      <c r="C31" s="178" t="s">
        <v>16</v>
      </c>
      <c r="D31" s="149">
        <v>0.1</v>
      </c>
      <c r="E31" s="150">
        <f t="shared" si="1"/>
        <v>0.4</v>
      </c>
      <c r="F31" s="150">
        <v>0.1</v>
      </c>
      <c r="G31" s="151">
        <f t="shared" si="2"/>
        <v>0.4</v>
      </c>
      <c r="H31" s="152">
        <v>4.99</v>
      </c>
      <c r="I31" s="153">
        <v>0</v>
      </c>
      <c r="J31" s="154">
        <v>0</v>
      </c>
      <c r="K31" s="155">
        <v>0</v>
      </c>
      <c r="L31" s="156"/>
      <c r="M31" s="154">
        <v>0</v>
      </c>
      <c r="N31" s="154">
        <v>0</v>
      </c>
      <c r="O31" s="158">
        <v>0</v>
      </c>
      <c r="P31" s="159">
        <f t="shared" si="3"/>
        <v>4.9900000000000009E-4</v>
      </c>
    </row>
    <row r="32" spans="3:22" x14ac:dyDescent="0.25">
      <c r="C32" s="178" t="s">
        <v>14</v>
      </c>
      <c r="D32" s="149">
        <v>2</v>
      </c>
      <c r="E32" s="150">
        <f t="shared" si="1"/>
        <v>8</v>
      </c>
      <c r="F32" s="150">
        <v>2</v>
      </c>
      <c r="G32" s="151">
        <f t="shared" si="2"/>
        <v>8</v>
      </c>
      <c r="H32" s="152">
        <v>4.33</v>
      </c>
      <c r="I32" s="153">
        <f>F32*0.1/100</f>
        <v>2E-3</v>
      </c>
      <c r="J32" s="154">
        <f>F32*0/100</f>
        <v>0</v>
      </c>
      <c r="K32" s="155">
        <f>F32*14.4/100</f>
        <v>0.28800000000000003</v>
      </c>
      <c r="L32" s="156"/>
      <c r="M32" s="154">
        <f>F32*99.9/100</f>
        <v>1.9980000000000002</v>
      </c>
      <c r="N32" s="154">
        <f>F32*0/100</f>
        <v>0</v>
      </c>
      <c r="O32" s="158">
        <f>F32*900/100</f>
        <v>18</v>
      </c>
      <c r="P32" s="159">
        <f t="shared" si="3"/>
        <v>8.6599999999999993E-3</v>
      </c>
    </row>
    <row r="33" spans="3:22" x14ac:dyDescent="0.25">
      <c r="C33" s="178" t="s">
        <v>17</v>
      </c>
      <c r="D33" s="149">
        <v>400</v>
      </c>
      <c r="E33" s="150">
        <f t="shared" si="1"/>
        <v>1600</v>
      </c>
      <c r="F33" s="150">
        <v>400</v>
      </c>
      <c r="G33" s="151">
        <f t="shared" si="2"/>
        <v>1600</v>
      </c>
      <c r="H33" s="152">
        <v>1.6172</v>
      </c>
      <c r="I33" s="178" t="s">
        <v>63</v>
      </c>
      <c r="J33" s="150" t="s">
        <v>63</v>
      </c>
      <c r="K33" s="133" t="s">
        <v>63</v>
      </c>
      <c r="L33" s="134"/>
      <c r="M33" s="150" t="s">
        <v>63</v>
      </c>
      <c r="N33" s="150" t="s">
        <v>63</v>
      </c>
      <c r="O33" s="179" t="s">
        <v>63</v>
      </c>
      <c r="P33" s="159">
        <f t="shared" si="3"/>
        <v>0.64688000000000001</v>
      </c>
    </row>
    <row r="34" spans="3:22" ht="15.75" thickBot="1" x14ac:dyDescent="0.3">
      <c r="C34" s="178" t="s">
        <v>15</v>
      </c>
      <c r="D34" s="180">
        <v>0.2</v>
      </c>
      <c r="E34" s="162">
        <f t="shared" si="1"/>
        <v>0.8</v>
      </c>
      <c r="F34" s="162">
        <v>0.2</v>
      </c>
      <c r="G34" s="164">
        <f t="shared" si="2"/>
        <v>0.8</v>
      </c>
      <c r="H34" s="152">
        <v>0.19</v>
      </c>
      <c r="I34" s="153">
        <v>0</v>
      </c>
      <c r="J34" s="154">
        <v>0</v>
      </c>
      <c r="K34" s="168">
        <v>0</v>
      </c>
      <c r="L34" s="169"/>
      <c r="M34" s="154">
        <v>0</v>
      </c>
      <c r="N34" s="154">
        <v>0</v>
      </c>
      <c r="O34" s="158">
        <v>0</v>
      </c>
      <c r="P34" s="159">
        <f>D34*H34/1000</f>
        <v>3.8000000000000009E-5</v>
      </c>
    </row>
    <row r="35" spans="3:22" x14ac:dyDescent="0.25">
      <c r="C35" s="181"/>
      <c r="D35" s="181"/>
      <c r="E35" s="181"/>
      <c r="F35" s="181"/>
      <c r="G35" s="181"/>
      <c r="H35" s="182" t="s">
        <v>61</v>
      </c>
      <c r="I35" s="145">
        <f>SUM(I28:I34)</f>
        <v>5.633</v>
      </c>
      <c r="J35" s="146">
        <f>SUM(J28:J34)</f>
        <v>10.678000000000001</v>
      </c>
      <c r="K35" s="143">
        <f>SUM(K28:L34)</f>
        <v>0.46350000000000002</v>
      </c>
      <c r="L35" s="144"/>
      <c r="M35" s="146">
        <f>SUM(M28:M34)</f>
        <v>3.4805000000000001</v>
      </c>
      <c r="N35" s="146">
        <f>SUM(N28:N34)</f>
        <v>6.0490000000000004</v>
      </c>
      <c r="O35" s="183">
        <f>SUM(O28:O34)</f>
        <v>90.305000000000007</v>
      </c>
      <c r="P35" s="184">
        <f>SUM(P28:P34)</f>
        <v>0.88724700000000001</v>
      </c>
    </row>
    <row r="36" spans="3:22" ht="15.75" thickBot="1" x14ac:dyDescent="0.3">
      <c r="C36" s="172"/>
      <c r="D36" s="172"/>
      <c r="E36" s="172"/>
      <c r="F36" s="172"/>
      <c r="G36" s="172"/>
      <c r="H36" s="175" t="s">
        <v>62</v>
      </c>
      <c r="I36" s="176">
        <f>I35*4</f>
        <v>22.532</v>
      </c>
      <c r="J36" s="167">
        <f>J35*4</f>
        <v>42.712000000000003</v>
      </c>
      <c r="K36" s="168">
        <f t="shared" ref="K36" si="4">K35*4</f>
        <v>1.8540000000000001</v>
      </c>
      <c r="L36" s="169"/>
      <c r="M36" s="167">
        <f>M35*4</f>
        <v>13.922000000000001</v>
      </c>
      <c r="N36" s="167">
        <f>N35*4</f>
        <v>24.196000000000002</v>
      </c>
      <c r="O36" s="185">
        <f>O35*4</f>
        <v>361.22</v>
      </c>
      <c r="P36" s="177">
        <f>P35*4</f>
        <v>3.548988</v>
      </c>
      <c r="S36" s="3"/>
      <c r="T36" s="3"/>
      <c r="U36" s="3"/>
      <c r="V36" s="3"/>
    </row>
    <row r="37" spans="3:22" x14ac:dyDescent="0.25"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</row>
    <row r="38" spans="3:22" x14ac:dyDescent="0.25">
      <c r="C38" s="55" t="s">
        <v>7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</row>
    <row r="39" spans="3:22" x14ac:dyDescent="0.25">
      <c r="C39" s="56" t="s">
        <v>24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3:22" x14ac:dyDescent="0.25">
      <c r="C40" s="55" t="s">
        <v>8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3:22" ht="25.5" customHeight="1" x14ac:dyDescent="0.25">
      <c r="C41" s="57" t="s">
        <v>25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3:22" ht="36" customHeight="1" x14ac:dyDescent="0.25"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3:22" x14ac:dyDescent="0.25">
      <c r="C43" s="55" t="s">
        <v>9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</row>
    <row r="44" spans="3:22" x14ac:dyDescent="0.25">
      <c r="C44" s="56" t="s">
        <v>26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3:22" x14ac:dyDescent="0.25"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3:22" x14ac:dyDescent="0.2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3:22" ht="15.75" thickBot="1" x14ac:dyDescent="0.3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3:22" ht="15.75" thickBot="1" x14ac:dyDescent="0.3">
      <c r="C48" s="92" t="s">
        <v>49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4"/>
    </row>
    <row r="49" spans="3:22" ht="15.75" thickBot="1" x14ac:dyDescent="0.3">
      <c r="C49" s="72" t="s">
        <v>0</v>
      </c>
      <c r="D49" s="98" t="s">
        <v>32</v>
      </c>
      <c r="E49" s="49" t="s">
        <v>80</v>
      </c>
      <c r="F49" s="84" t="s">
        <v>33</v>
      </c>
      <c r="G49" s="52" t="s">
        <v>81</v>
      </c>
      <c r="H49" s="90" t="s">
        <v>34</v>
      </c>
      <c r="I49" s="77" t="s">
        <v>1</v>
      </c>
      <c r="J49" s="78"/>
      <c r="K49" s="78"/>
      <c r="L49" s="78"/>
      <c r="M49" s="78"/>
      <c r="N49" s="78"/>
      <c r="O49" s="78"/>
      <c r="P49" s="70" t="s">
        <v>35</v>
      </c>
      <c r="R49" s="1"/>
      <c r="S49" s="1"/>
      <c r="T49" s="5"/>
      <c r="U49" s="1"/>
      <c r="V49" s="5"/>
    </row>
    <row r="50" spans="3:22" x14ac:dyDescent="0.25">
      <c r="C50" s="72"/>
      <c r="D50" s="99"/>
      <c r="E50" s="50"/>
      <c r="F50" s="100"/>
      <c r="G50" s="53"/>
      <c r="H50" s="90"/>
      <c r="I50" s="72" t="s">
        <v>82</v>
      </c>
      <c r="J50" s="100" t="s">
        <v>4</v>
      </c>
      <c r="K50" s="82" t="s">
        <v>5</v>
      </c>
      <c r="L50" s="106"/>
      <c r="M50" s="83"/>
      <c r="N50" s="100" t="s">
        <v>83</v>
      </c>
      <c r="O50" s="57" t="s">
        <v>31</v>
      </c>
      <c r="P50" s="71"/>
      <c r="R50" s="1"/>
      <c r="S50" s="1"/>
      <c r="T50" s="5"/>
      <c r="U50" s="1"/>
      <c r="V50" s="5"/>
    </row>
    <row r="51" spans="3:22" ht="15.75" thickBot="1" x14ac:dyDescent="0.3">
      <c r="C51" s="81"/>
      <c r="D51" s="102"/>
      <c r="E51" s="51"/>
      <c r="F51" s="85"/>
      <c r="G51" s="54"/>
      <c r="H51" s="91"/>
      <c r="I51" s="81"/>
      <c r="J51" s="85"/>
      <c r="K51" s="107" t="s">
        <v>30</v>
      </c>
      <c r="L51" s="108"/>
      <c r="M51" s="20" t="s">
        <v>2</v>
      </c>
      <c r="N51" s="85"/>
      <c r="O51" s="87"/>
      <c r="P51" s="79"/>
      <c r="R51" s="1"/>
      <c r="S51" s="1"/>
      <c r="T51" s="5"/>
      <c r="U51" s="1"/>
      <c r="V51" s="5"/>
    </row>
    <row r="52" spans="3:22" ht="15" customHeight="1" x14ac:dyDescent="0.25">
      <c r="C52" s="148" t="s">
        <v>18</v>
      </c>
      <c r="D52" s="149">
        <v>103</v>
      </c>
      <c r="E52" s="150">
        <f>D52*4</f>
        <v>412</v>
      </c>
      <c r="F52" s="186">
        <f>D52*86/100</f>
        <v>88.58</v>
      </c>
      <c r="G52" s="187">
        <f>F52*4</f>
        <v>354.32</v>
      </c>
      <c r="H52" s="152">
        <v>6.89</v>
      </c>
      <c r="I52" s="188">
        <f>F52*24.1/100</f>
        <v>21.347780000000004</v>
      </c>
      <c r="J52" s="154">
        <f>F52*0/100</f>
        <v>0</v>
      </c>
      <c r="K52" s="143">
        <f>F52*0.3/100</f>
        <v>0.26573999999999998</v>
      </c>
      <c r="L52" s="144"/>
      <c r="M52" s="157">
        <f>F52*1.2/100</f>
        <v>1.0629599999999999</v>
      </c>
      <c r="N52" s="154">
        <f>F52*0/100</f>
        <v>0</v>
      </c>
      <c r="O52" s="158">
        <f>F52*108/100</f>
        <v>95.666399999999996</v>
      </c>
      <c r="P52" s="159">
        <f>D52*H52/1000</f>
        <v>0.70966999999999991</v>
      </c>
      <c r="R52" s="7"/>
    </row>
    <row r="53" spans="3:22" x14ac:dyDescent="0.25">
      <c r="C53" s="178" t="s">
        <v>43</v>
      </c>
      <c r="D53" s="149">
        <v>300</v>
      </c>
      <c r="E53" s="150">
        <f>D53*4</f>
        <v>1200</v>
      </c>
      <c r="F53" s="150">
        <f>D53*60/100</f>
        <v>180</v>
      </c>
      <c r="G53" s="151">
        <f>F53*4</f>
        <v>720</v>
      </c>
      <c r="H53" s="152">
        <v>8.4499999999999993</v>
      </c>
      <c r="I53" s="188">
        <f>F53*2.6/100</f>
        <v>4.68</v>
      </c>
      <c r="J53" s="154">
        <f>F53*0.8/100</f>
        <v>1.44</v>
      </c>
      <c r="K53" s="155">
        <f>F53*0.1/100</f>
        <v>0.18</v>
      </c>
      <c r="L53" s="156"/>
      <c r="M53" s="157">
        <f>F53*0.9/100</f>
        <v>1.62</v>
      </c>
      <c r="N53" s="154">
        <f>F53*2.6/100</f>
        <v>4.68</v>
      </c>
      <c r="O53" s="158">
        <f>F53*22/100</f>
        <v>39.6</v>
      </c>
      <c r="P53" s="159">
        <f>D53*H53/1000</f>
        <v>2.5350000000000001</v>
      </c>
    </row>
    <row r="54" spans="3:22" ht="27.75" customHeight="1" x14ac:dyDescent="0.25">
      <c r="C54" s="189" t="s">
        <v>46</v>
      </c>
      <c r="D54" s="149">
        <v>70</v>
      </c>
      <c r="E54" s="150">
        <f t="shared" ref="E54:E62" si="5">D54*4</f>
        <v>280</v>
      </c>
      <c r="F54" s="150">
        <f>D54*100/100</f>
        <v>70</v>
      </c>
      <c r="G54" s="151">
        <f t="shared" ref="G54:G62" si="6">F54*4</f>
        <v>280</v>
      </c>
      <c r="H54" s="152">
        <v>1.0900000000000001</v>
      </c>
      <c r="I54" s="188">
        <f>F54*6.7/100</f>
        <v>4.6900000000000004</v>
      </c>
      <c r="J54" s="154">
        <f>F54*78.1/100</f>
        <v>54.67</v>
      </c>
      <c r="K54" s="155">
        <f>F54*0.1/100</f>
        <v>7.0000000000000007E-2</v>
      </c>
      <c r="L54" s="156"/>
      <c r="M54" s="157">
        <f>F54*0.4/100</f>
        <v>0.28000000000000003</v>
      </c>
      <c r="N54" s="154">
        <f>F54*2.1/100</f>
        <v>1.47</v>
      </c>
      <c r="O54" s="158">
        <f>F54*352/100</f>
        <v>246.4</v>
      </c>
      <c r="P54" s="159">
        <f t="shared" ref="P54:P62" si="7">D54*H54/1000</f>
        <v>7.6300000000000007E-2</v>
      </c>
    </row>
    <row r="55" spans="3:22" x14ac:dyDescent="0.25">
      <c r="C55" s="178" t="s">
        <v>47</v>
      </c>
      <c r="D55" s="149">
        <v>40</v>
      </c>
      <c r="E55" s="150">
        <f t="shared" si="5"/>
        <v>160</v>
      </c>
      <c r="F55" s="150">
        <f>D55*71/100</f>
        <v>28.4</v>
      </c>
      <c r="G55" s="151">
        <f t="shared" si="6"/>
        <v>113.6</v>
      </c>
      <c r="H55" s="152">
        <v>2.39</v>
      </c>
      <c r="I55" s="153">
        <f>F55*1.4/100</f>
        <v>0.39759999999999995</v>
      </c>
      <c r="J55" s="154">
        <f>F55*1.7/100</f>
        <v>0.48279999999999995</v>
      </c>
      <c r="K55" s="155">
        <f>F55*0.2/100</f>
        <v>5.6799999999999996E-2</v>
      </c>
      <c r="L55" s="156"/>
      <c r="M55" s="154">
        <f>F55*0.6/100</f>
        <v>0.1704</v>
      </c>
      <c r="N55" s="154">
        <f>F55*0.7/100</f>
        <v>0.19879999999999998</v>
      </c>
      <c r="O55" s="158">
        <f>F55*17/100</f>
        <v>4.8279999999999994</v>
      </c>
      <c r="P55" s="159">
        <f>D55*H55/1000</f>
        <v>9.5600000000000004E-2</v>
      </c>
    </row>
    <row r="56" spans="3:22" x14ac:dyDescent="0.25">
      <c r="C56" s="178" t="s">
        <v>48</v>
      </c>
      <c r="D56" s="149">
        <v>40</v>
      </c>
      <c r="E56" s="150">
        <f t="shared" si="5"/>
        <v>160</v>
      </c>
      <c r="F56" s="150">
        <f>D56*71/100</f>
        <v>28.4</v>
      </c>
      <c r="G56" s="151">
        <f t="shared" si="6"/>
        <v>113.6</v>
      </c>
      <c r="H56" s="152">
        <v>1.99</v>
      </c>
      <c r="I56" s="153">
        <f>F56*1.4/100</f>
        <v>0.39759999999999995</v>
      </c>
      <c r="J56" s="154">
        <f>F56*1.7/100</f>
        <v>0.48279999999999995</v>
      </c>
      <c r="K56" s="155">
        <f>F56*0.2/100</f>
        <v>5.6799999999999996E-2</v>
      </c>
      <c r="L56" s="156"/>
      <c r="M56" s="154">
        <f>F56*0.6/100</f>
        <v>0.1704</v>
      </c>
      <c r="N56" s="154">
        <f>F56*0.7/100</f>
        <v>0.19879999999999998</v>
      </c>
      <c r="O56" s="158">
        <f>F56*17/100</f>
        <v>4.8279999999999994</v>
      </c>
      <c r="P56" s="159">
        <f t="shared" si="7"/>
        <v>7.959999999999999E-2</v>
      </c>
    </row>
    <row r="57" spans="3:22" x14ac:dyDescent="0.25">
      <c r="C57" s="178" t="s">
        <v>13</v>
      </c>
      <c r="D57" s="149">
        <v>20</v>
      </c>
      <c r="E57" s="150">
        <f t="shared" si="5"/>
        <v>80</v>
      </c>
      <c r="F57" s="150">
        <f>D57*89/100</f>
        <v>17.8</v>
      </c>
      <c r="G57" s="151">
        <f t="shared" si="6"/>
        <v>71.2</v>
      </c>
      <c r="H57" s="152">
        <v>0.25</v>
      </c>
      <c r="I57" s="153">
        <f>F57*0.9/100</f>
        <v>0.16020000000000001</v>
      </c>
      <c r="J57" s="154">
        <f>F57*3.1/100</f>
        <v>0.55180000000000007</v>
      </c>
      <c r="K57" s="155">
        <f>F57*0/100</f>
        <v>0</v>
      </c>
      <c r="L57" s="156"/>
      <c r="M57" s="154">
        <f>F57*0.5/100</f>
        <v>8.900000000000001E-2</v>
      </c>
      <c r="N57" s="154">
        <f>F57*1.3/100</f>
        <v>0.23139999999999999</v>
      </c>
      <c r="O57" s="190">
        <f>F57*17/100</f>
        <v>3.0260000000000002</v>
      </c>
      <c r="P57" s="159">
        <f t="shared" si="7"/>
        <v>5.0000000000000001E-3</v>
      </c>
    </row>
    <row r="58" spans="3:22" x14ac:dyDescent="0.25">
      <c r="C58" s="178" t="s">
        <v>14</v>
      </c>
      <c r="D58" s="149">
        <v>10</v>
      </c>
      <c r="E58" s="150">
        <f t="shared" si="5"/>
        <v>40</v>
      </c>
      <c r="F58" s="150">
        <v>10</v>
      </c>
      <c r="G58" s="151">
        <f t="shared" si="6"/>
        <v>40</v>
      </c>
      <c r="H58" s="152">
        <v>4.33</v>
      </c>
      <c r="I58" s="153">
        <f>F58*0.1/100</f>
        <v>0.01</v>
      </c>
      <c r="J58" s="154">
        <f>F58*0/100</f>
        <v>0</v>
      </c>
      <c r="K58" s="155">
        <f>F58*14.4/100</f>
        <v>1.44</v>
      </c>
      <c r="L58" s="156"/>
      <c r="M58" s="154">
        <f>F58*99.9/100</f>
        <v>9.99</v>
      </c>
      <c r="N58" s="154">
        <f>F58*0/100</f>
        <v>0</v>
      </c>
      <c r="O58" s="190">
        <f>F58*900/100</f>
        <v>90</v>
      </c>
      <c r="P58" s="159">
        <f t="shared" si="7"/>
        <v>4.3299999999999998E-2</v>
      </c>
    </row>
    <row r="59" spans="3:22" x14ac:dyDescent="0.25">
      <c r="C59" s="178" t="s">
        <v>52</v>
      </c>
      <c r="D59" s="149">
        <v>0.1</v>
      </c>
      <c r="E59" s="150">
        <f t="shared" si="5"/>
        <v>0.4</v>
      </c>
      <c r="F59" s="150">
        <v>0.1</v>
      </c>
      <c r="G59" s="151">
        <f t="shared" si="6"/>
        <v>0.4</v>
      </c>
      <c r="H59" s="152">
        <v>20</v>
      </c>
      <c r="I59" s="153">
        <v>0</v>
      </c>
      <c r="J59" s="154">
        <v>0</v>
      </c>
      <c r="K59" s="155">
        <v>0</v>
      </c>
      <c r="L59" s="156"/>
      <c r="M59" s="154">
        <v>0</v>
      </c>
      <c r="N59" s="154">
        <v>0</v>
      </c>
      <c r="O59" s="190">
        <v>0</v>
      </c>
      <c r="P59" s="159">
        <f t="shared" si="7"/>
        <v>2E-3</v>
      </c>
    </row>
    <row r="60" spans="3:22" x14ac:dyDescent="0.25">
      <c r="C60" s="178" t="s">
        <v>37</v>
      </c>
      <c r="D60" s="149">
        <v>5</v>
      </c>
      <c r="E60" s="150">
        <f t="shared" si="5"/>
        <v>20</v>
      </c>
      <c r="F60" s="150">
        <v>5</v>
      </c>
      <c r="G60" s="151">
        <f t="shared" si="6"/>
        <v>20</v>
      </c>
      <c r="H60" s="152">
        <v>1.0900000000000001</v>
      </c>
      <c r="I60" s="188">
        <f>F60*0.5/100</f>
        <v>2.5000000000000001E-2</v>
      </c>
      <c r="J60" s="154">
        <f>F60*1.9/100</f>
        <v>9.5000000000000001E-2</v>
      </c>
      <c r="K60" s="155">
        <f>F60*0.1/100</f>
        <v>5.0000000000000001E-3</v>
      </c>
      <c r="L60" s="156"/>
      <c r="M60" s="157">
        <f>F60*0.3/100</f>
        <v>1.4999999999999999E-2</v>
      </c>
      <c r="N60" s="154">
        <f>F60*2.1/100</f>
        <v>0.105</v>
      </c>
      <c r="O60" s="158">
        <f>F60*26/100</f>
        <v>1.3</v>
      </c>
      <c r="P60" s="159">
        <f t="shared" si="7"/>
        <v>5.45E-3</v>
      </c>
    </row>
    <row r="61" spans="3:22" x14ac:dyDescent="0.25">
      <c r="C61" s="178" t="s">
        <v>19</v>
      </c>
      <c r="D61" s="149">
        <v>1.3</v>
      </c>
      <c r="E61" s="150">
        <f t="shared" si="5"/>
        <v>5.2</v>
      </c>
      <c r="F61" s="150">
        <v>1.3</v>
      </c>
      <c r="G61" s="151">
        <f t="shared" si="6"/>
        <v>5.2</v>
      </c>
      <c r="H61" s="152">
        <v>2.99</v>
      </c>
      <c r="I61" s="188">
        <f>F61*3.1/100</f>
        <v>4.0300000000000002E-2</v>
      </c>
      <c r="J61" s="154">
        <f>F61*0.4/100</f>
        <v>5.1999999999999998E-3</v>
      </c>
      <c r="K61" s="155">
        <f>F61*0/100</f>
        <v>0</v>
      </c>
      <c r="L61" s="156"/>
      <c r="M61" s="157">
        <f>F61*0/100</f>
        <v>0</v>
      </c>
      <c r="N61" s="154">
        <f>F61*2.9/100</f>
        <v>3.7699999999999997E-2</v>
      </c>
      <c r="O61" s="158">
        <f>F61*20/100</f>
        <v>0.26</v>
      </c>
      <c r="P61" s="159">
        <f t="shared" si="7"/>
        <v>3.8870000000000003E-3</v>
      </c>
    </row>
    <row r="62" spans="3:22" ht="15.75" thickBot="1" x14ac:dyDescent="0.3">
      <c r="C62" s="178" t="s">
        <v>15</v>
      </c>
      <c r="D62" s="180">
        <v>0.3</v>
      </c>
      <c r="E62" s="162">
        <f t="shared" si="5"/>
        <v>1.2</v>
      </c>
      <c r="F62" s="162">
        <v>0.3</v>
      </c>
      <c r="G62" s="164">
        <f t="shared" si="6"/>
        <v>1.2</v>
      </c>
      <c r="H62" s="152">
        <v>0.19</v>
      </c>
      <c r="I62" s="153">
        <v>0</v>
      </c>
      <c r="J62" s="154">
        <v>0</v>
      </c>
      <c r="K62" s="168">
        <v>0</v>
      </c>
      <c r="L62" s="169"/>
      <c r="M62" s="154">
        <v>0</v>
      </c>
      <c r="N62" s="154">
        <v>0</v>
      </c>
      <c r="O62" s="190">
        <v>0</v>
      </c>
      <c r="P62" s="159">
        <f t="shared" si="7"/>
        <v>5.6999999999999996E-5</v>
      </c>
    </row>
    <row r="63" spans="3:22" x14ac:dyDescent="0.25">
      <c r="C63" s="181"/>
      <c r="D63" s="181"/>
      <c r="E63" s="181"/>
      <c r="F63" s="181"/>
      <c r="G63" s="181"/>
      <c r="H63" s="182" t="s">
        <v>61</v>
      </c>
      <c r="I63" s="191">
        <f>SUM(I52:I62)</f>
        <v>31.748480000000004</v>
      </c>
      <c r="J63" s="183">
        <f>SUM(J52:J62)</f>
        <v>57.727599999999995</v>
      </c>
      <c r="K63" s="143">
        <f>SUM(K52:L62)</f>
        <v>2.0743399999999999</v>
      </c>
      <c r="L63" s="192"/>
      <c r="M63" s="183">
        <f>SUM(M52:M62)</f>
        <v>13.39776</v>
      </c>
      <c r="N63" s="183">
        <f>SUM(N52:N62)</f>
        <v>6.9217000000000004</v>
      </c>
      <c r="O63" s="183">
        <f>SUM(O52:O62)</f>
        <v>485.90839999999997</v>
      </c>
      <c r="P63" s="184">
        <f>SUM(P52:P62)</f>
        <v>3.5558640000000001</v>
      </c>
    </row>
    <row r="64" spans="3:22" ht="15.75" thickBot="1" x14ac:dyDescent="0.3">
      <c r="C64" s="172"/>
      <c r="D64" s="172"/>
      <c r="E64" s="172"/>
      <c r="F64" s="172"/>
      <c r="G64" s="172"/>
      <c r="H64" s="175" t="s">
        <v>62</v>
      </c>
      <c r="I64" s="193">
        <f>I63*4</f>
        <v>126.99392000000002</v>
      </c>
      <c r="J64" s="167">
        <f>J63*4</f>
        <v>230.91039999999998</v>
      </c>
      <c r="K64" s="168">
        <f t="shared" ref="K64" si="8">K63*4</f>
        <v>8.2973599999999994</v>
      </c>
      <c r="L64" s="169"/>
      <c r="M64" s="167">
        <f>M63*4</f>
        <v>53.59104</v>
      </c>
      <c r="N64" s="167">
        <f>N63*4</f>
        <v>27.686800000000002</v>
      </c>
      <c r="O64" s="185">
        <f>O63*4</f>
        <v>1943.6335999999999</v>
      </c>
      <c r="P64" s="177">
        <f>P63*4</f>
        <v>14.223456000000001</v>
      </c>
    </row>
    <row r="65" spans="3:29" x14ac:dyDescent="0.25">
      <c r="C65" s="55" t="s">
        <v>7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3:29" x14ac:dyDescent="0.25">
      <c r="C66" s="56" t="s">
        <v>27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3:29" x14ac:dyDescent="0.25">
      <c r="C67" s="55" t="s">
        <v>8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3:29" ht="28.5" customHeight="1" x14ac:dyDescent="0.25">
      <c r="C68" s="57" t="s">
        <v>53</v>
      </c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</row>
    <row r="69" spans="3:29" ht="48.75" customHeight="1" x14ac:dyDescent="0.25"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  <row r="70" spans="3:29" x14ac:dyDescent="0.25">
      <c r="C70" s="55" t="s">
        <v>9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3:29" x14ac:dyDescent="0.25">
      <c r="C71" s="57" t="s">
        <v>51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</row>
    <row r="72" spans="3:29" x14ac:dyDescent="0.25"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</row>
    <row r="73" spans="3:29" x14ac:dyDescent="0.2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3:29" ht="15.75" thickBot="1" x14ac:dyDescent="0.3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3:29" ht="15.75" thickBot="1" x14ac:dyDescent="0.3">
      <c r="C75" s="92" t="s">
        <v>21</v>
      </c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4"/>
      <c r="R75" s="92" t="s">
        <v>78</v>
      </c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4"/>
    </row>
    <row r="76" spans="3:29" ht="15.75" customHeight="1" thickBot="1" x14ac:dyDescent="0.3">
      <c r="C76" s="72" t="s">
        <v>0</v>
      </c>
      <c r="D76" s="95" t="s">
        <v>32</v>
      </c>
      <c r="E76" s="49" t="s">
        <v>80</v>
      </c>
      <c r="F76" s="49" t="s">
        <v>33</v>
      </c>
      <c r="G76" s="52" t="s">
        <v>81</v>
      </c>
      <c r="H76" s="90" t="s">
        <v>34</v>
      </c>
      <c r="I76" s="77" t="s">
        <v>1</v>
      </c>
      <c r="J76" s="78"/>
      <c r="K76" s="78"/>
      <c r="L76" s="78"/>
      <c r="M76" s="78"/>
      <c r="N76" s="78"/>
      <c r="O76" s="78"/>
      <c r="P76" s="70" t="s">
        <v>35</v>
      </c>
      <c r="R76" s="80" t="s">
        <v>0</v>
      </c>
      <c r="S76" s="98" t="s">
        <v>32</v>
      </c>
      <c r="T76" s="84" t="s">
        <v>33</v>
      </c>
      <c r="U76" s="101" t="s">
        <v>34</v>
      </c>
      <c r="V76" s="77" t="s">
        <v>1</v>
      </c>
      <c r="W76" s="78"/>
      <c r="X76" s="78"/>
      <c r="Y76" s="78"/>
      <c r="Z76" s="78"/>
      <c r="AA76" s="78"/>
      <c r="AB76" s="78"/>
      <c r="AC76" s="70" t="s">
        <v>35</v>
      </c>
    </row>
    <row r="77" spans="3:29" x14ac:dyDescent="0.25">
      <c r="C77" s="72"/>
      <c r="D77" s="96"/>
      <c r="E77" s="50"/>
      <c r="F77" s="50"/>
      <c r="G77" s="53"/>
      <c r="H77" s="90"/>
      <c r="I77" s="80" t="s">
        <v>82</v>
      </c>
      <c r="J77" s="82" t="s">
        <v>4</v>
      </c>
      <c r="K77" s="83"/>
      <c r="L77" s="82" t="s">
        <v>5</v>
      </c>
      <c r="M77" s="83"/>
      <c r="N77" s="84" t="s">
        <v>83</v>
      </c>
      <c r="O77" s="86" t="s">
        <v>31</v>
      </c>
      <c r="P77" s="71"/>
      <c r="R77" s="72"/>
      <c r="S77" s="99"/>
      <c r="T77" s="100"/>
      <c r="U77" s="90"/>
      <c r="V77" s="80" t="s">
        <v>3</v>
      </c>
      <c r="W77" s="82" t="s">
        <v>4</v>
      </c>
      <c r="X77" s="83"/>
      <c r="Y77" s="82" t="s">
        <v>5</v>
      </c>
      <c r="Z77" s="83"/>
      <c r="AA77" s="84" t="s">
        <v>6</v>
      </c>
      <c r="AB77" s="86" t="s">
        <v>31</v>
      </c>
      <c r="AC77" s="71"/>
    </row>
    <row r="78" spans="3:29" ht="15.75" thickBot="1" x14ac:dyDescent="0.3">
      <c r="C78" s="81"/>
      <c r="D78" s="97"/>
      <c r="E78" s="51"/>
      <c r="F78" s="51"/>
      <c r="G78" s="54"/>
      <c r="H78" s="91"/>
      <c r="I78" s="81"/>
      <c r="J78" s="11" t="s">
        <v>85</v>
      </c>
      <c r="K78" s="11" t="s">
        <v>2</v>
      </c>
      <c r="L78" s="22" t="s">
        <v>30</v>
      </c>
      <c r="M78" s="19" t="s">
        <v>2</v>
      </c>
      <c r="N78" s="85"/>
      <c r="O78" s="87"/>
      <c r="P78" s="79"/>
      <c r="R78" s="72"/>
      <c r="S78" s="99"/>
      <c r="T78" s="100"/>
      <c r="U78" s="91"/>
      <c r="V78" s="81"/>
      <c r="W78" s="11" t="s">
        <v>23</v>
      </c>
      <c r="X78" s="11" t="s">
        <v>2</v>
      </c>
      <c r="Y78" s="22" t="s">
        <v>30</v>
      </c>
      <c r="Z78" s="19" t="s">
        <v>2</v>
      </c>
      <c r="AA78" s="85"/>
      <c r="AB78" s="87"/>
      <c r="AC78" s="79"/>
    </row>
    <row r="79" spans="3:29" x14ac:dyDescent="0.25">
      <c r="C79" s="178" t="s">
        <v>37</v>
      </c>
      <c r="D79" s="194">
        <v>10</v>
      </c>
      <c r="E79" s="195">
        <f>D79*4</f>
        <v>40</v>
      </c>
      <c r="F79" s="195">
        <v>10</v>
      </c>
      <c r="G79" s="196">
        <f>F79*4</f>
        <v>40</v>
      </c>
      <c r="H79" s="152">
        <v>1.0900000000000001</v>
      </c>
      <c r="I79" s="188">
        <f>F79*0/100</f>
        <v>0</v>
      </c>
      <c r="J79" s="197">
        <f>F79*1.5/100</f>
        <v>0.15</v>
      </c>
      <c r="K79" s="197">
        <f>F79*1.5/100</f>
        <v>0.15</v>
      </c>
      <c r="L79" s="154">
        <f>F79*0/100</f>
        <v>0</v>
      </c>
      <c r="M79" s="157">
        <f>F79*0/100</f>
        <v>0</v>
      </c>
      <c r="N79" s="154">
        <f>F79*0/100</f>
        <v>0</v>
      </c>
      <c r="O79" s="158">
        <f>F79*25/100</f>
        <v>2.5</v>
      </c>
      <c r="P79" s="159">
        <f>D79*H79/1000</f>
        <v>1.09E-2</v>
      </c>
      <c r="R79" s="41" t="s">
        <v>72</v>
      </c>
      <c r="S79" s="48">
        <v>200</v>
      </c>
      <c r="T79" s="40">
        <f>S79*80/100</f>
        <v>160</v>
      </c>
      <c r="U79" s="45">
        <v>1.29</v>
      </c>
      <c r="V79" s="25">
        <f>T79*0.2/100</f>
        <v>0.32</v>
      </c>
      <c r="W79" s="13">
        <f>T79*12.8/100</f>
        <v>20.48</v>
      </c>
      <c r="X79" s="13">
        <f>T79*12.7/100</f>
        <v>20.32</v>
      </c>
      <c r="Y79" s="12">
        <f>T79*0.1/100</f>
        <v>0.16</v>
      </c>
      <c r="Z79" s="14">
        <f>T79*0.5/100</f>
        <v>0.8</v>
      </c>
      <c r="AA79" s="12">
        <f>T79*1.9/100</f>
        <v>3.04</v>
      </c>
      <c r="AB79" s="21">
        <f>T79*54/100</f>
        <v>86.4</v>
      </c>
      <c r="AC79" s="28">
        <f>S79*U79/1000</f>
        <v>0.25800000000000001</v>
      </c>
    </row>
    <row r="80" spans="3:29" x14ac:dyDescent="0.25">
      <c r="C80" s="178" t="s">
        <v>66</v>
      </c>
      <c r="D80" s="194">
        <v>100</v>
      </c>
      <c r="E80" s="195">
        <f>D80*4</f>
        <v>400</v>
      </c>
      <c r="F80" s="195">
        <v>100</v>
      </c>
      <c r="G80" s="196">
        <f>F80*4</f>
        <v>400</v>
      </c>
      <c r="H80" s="152">
        <v>2.68</v>
      </c>
      <c r="I80" s="188">
        <f>F80*5.3/100</f>
        <v>5.3</v>
      </c>
      <c r="J80" s="197">
        <f>F80*3.2/100</f>
        <v>3.2</v>
      </c>
      <c r="K80" s="154">
        <f>F80*5.5/100</f>
        <v>5.5</v>
      </c>
      <c r="L80" s="154">
        <f>F80*1.4/100</f>
        <v>1.4</v>
      </c>
      <c r="M80" s="157">
        <f>F80*2/100</f>
        <v>2</v>
      </c>
      <c r="N80" s="154">
        <f>F80*0/100</f>
        <v>0</v>
      </c>
      <c r="O80" s="158">
        <f>F80*61/100</f>
        <v>61</v>
      </c>
      <c r="P80" s="159">
        <f>D80*H80/1000</f>
        <v>0.26800000000000002</v>
      </c>
      <c r="R80" s="8" t="s">
        <v>73</v>
      </c>
      <c r="S80" s="46">
        <v>100</v>
      </c>
      <c r="T80" s="16">
        <f>S80*90/100</f>
        <v>90</v>
      </c>
      <c r="U80" s="45">
        <v>1.29</v>
      </c>
      <c r="V80" s="25">
        <f>T80*0.2/100</f>
        <v>0.18</v>
      </c>
      <c r="W80" s="13">
        <f>T80*13.6/100</f>
        <v>12.24</v>
      </c>
      <c r="X80" s="12">
        <f>T80*13.4/100</f>
        <v>12.06</v>
      </c>
      <c r="Y80" s="12">
        <f>T80*0.1/100</f>
        <v>0.09</v>
      </c>
      <c r="Z80" s="14">
        <f>T80*0.5/100</f>
        <v>0.45</v>
      </c>
      <c r="AA80" s="12">
        <f>T80*2.1/100</f>
        <v>1.89</v>
      </c>
      <c r="AB80" s="21">
        <f>T80*57/100</f>
        <v>51.3</v>
      </c>
      <c r="AC80" s="28">
        <f>S80*U80/1000</f>
        <v>0.129</v>
      </c>
    </row>
    <row r="81" spans="3:29" x14ac:dyDescent="0.25">
      <c r="C81" s="178" t="s">
        <v>54</v>
      </c>
      <c r="D81" s="194">
        <v>4</v>
      </c>
      <c r="E81" s="195">
        <f t="shared" ref="E81:E82" si="9">D81*4</f>
        <v>16</v>
      </c>
      <c r="F81" s="195">
        <v>4</v>
      </c>
      <c r="G81" s="196">
        <f t="shared" ref="G81:G82" si="10">F81*4</f>
        <v>16</v>
      </c>
      <c r="H81" s="152">
        <f>3.9*1000/250</f>
        <v>15.6</v>
      </c>
      <c r="I81" s="188">
        <f>F81*0.5/100</f>
        <v>0.02</v>
      </c>
      <c r="J81" s="197">
        <f>F81*81.9/100</f>
        <v>3.2760000000000002</v>
      </c>
      <c r="K81" s="154">
        <f>F81*78/100</f>
        <v>3.12</v>
      </c>
      <c r="L81" s="154">
        <v>0</v>
      </c>
      <c r="M81" s="157">
        <f>F81*0/100</f>
        <v>0</v>
      </c>
      <c r="N81" s="154">
        <f>F81*0/100</f>
        <v>0</v>
      </c>
      <c r="O81" s="158">
        <f>F81*309/100</f>
        <v>12.36</v>
      </c>
      <c r="P81" s="159">
        <f>D81*H81/1000</f>
        <v>6.2399999999999997E-2</v>
      </c>
      <c r="R81" s="8" t="s">
        <v>69</v>
      </c>
      <c r="S81" s="46">
        <v>30</v>
      </c>
      <c r="T81" s="16">
        <v>30</v>
      </c>
      <c r="U81" s="45">
        <v>3.57</v>
      </c>
      <c r="V81" s="25">
        <f>T81*16/100</f>
        <v>4.8</v>
      </c>
      <c r="W81" s="13">
        <f>T81*0/100</f>
        <v>0</v>
      </c>
      <c r="X81" s="12">
        <f>T81*0/100</f>
        <v>0</v>
      </c>
      <c r="Y81" s="12">
        <f>T81*8.3/100</f>
        <v>2.4900000000000002</v>
      </c>
      <c r="Z81" s="14">
        <f>T81*30.9/100</f>
        <v>9.27</v>
      </c>
      <c r="AA81" s="12">
        <f>T81*0/100</f>
        <v>0</v>
      </c>
      <c r="AB81" s="21">
        <f>T81*342/100</f>
        <v>102.6</v>
      </c>
      <c r="AC81" s="28">
        <f t="shared" ref="AC81:AC87" si="11">S81*U81/1000</f>
        <v>0.1071</v>
      </c>
    </row>
    <row r="82" spans="3:29" ht="15.75" thickBot="1" x14ac:dyDescent="0.3">
      <c r="C82" s="178" t="s">
        <v>16</v>
      </c>
      <c r="D82" s="198">
        <v>1</v>
      </c>
      <c r="E82" s="199">
        <f t="shared" si="9"/>
        <v>4</v>
      </c>
      <c r="F82" s="199">
        <v>1</v>
      </c>
      <c r="G82" s="200">
        <f t="shared" si="10"/>
        <v>4</v>
      </c>
      <c r="H82" s="152">
        <v>4.99</v>
      </c>
      <c r="I82" s="153">
        <v>0</v>
      </c>
      <c r="J82" s="154">
        <v>0</v>
      </c>
      <c r="K82" s="185">
        <v>0</v>
      </c>
      <c r="L82" s="167">
        <v>0</v>
      </c>
      <c r="M82" s="154">
        <v>0</v>
      </c>
      <c r="N82" s="154">
        <v>0</v>
      </c>
      <c r="O82" s="190">
        <v>0</v>
      </c>
      <c r="P82" s="159">
        <f>D82*H82/1000</f>
        <v>4.9900000000000005E-3</v>
      </c>
      <c r="R82" s="8" t="s">
        <v>70</v>
      </c>
      <c r="S82" s="46">
        <v>70</v>
      </c>
      <c r="T82" s="16">
        <v>70</v>
      </c>
      <c r="U82" s="45">
        <v>2.2000000000000002</v>
      </c>
      <c r="V82" s="25">
        <f>T82*2.2/100</f>
        <v>1.54</v>
      </c>
      <c r="W82" s="13">
        <f>T82*2.2/100</f>
        <v>1.54</v>
      </c>
      <c r="X82" s="12">
        <f>T82*2.1/100</f>
        <v>1.47</v>
      </c>
      <c r="Y82" s="12">
        <f>T82*19/100</f>
        <v>13.3</v>
      </c>
      <c r="Z82" s="14">
        <f>T82*34/100</f>
        <v>23.8</v>
      </c>
      <c r="AA82" s="12">
        <f>T82*0/100</f>
        <v>0</v>
      </c>
      <c r="AB82" s="21">
        <f>T82*323/100</f>
        <v>226.1</v>
      </c>
      <c r="AC82" s="28">
        <f t="shared" si="11"/>
        <v>0.154</v>
      </c>
    </row>
    <row r="83" spans="3:29" x14ac:dyDescent="0.25">
      <c r="C83" s="181"/>
      <c r="D83" s="181"/>
      <c r="E83" s="181"/>
      <c r="F83" s="181"/>
      <c r="G83" s="181"/>
      <c r="H83" s="182" t="s">
        <v>61</v>
      </c>
      <c r="I83" s="142">
        <f t="shared" ref="I83:P83" si="12">SUM(I79:I82)</f>
        <v>5.3199999999999994</v>
      </c>
      <c r="J83" s="183">
        <f t="shared" si="12"/>
        <v>6.6260000000000003</v>
      </c>
      <c r="K83" s="183">
        <f t="shared" si="12"/>
        <v>8.77</v>
      </c>
      <c r="L83" s="183">
        <f t="shared" si="12"/>
        <v>1.4</v>
      </c>
      <c r="M83" s="183">
        <f t="shared" si="12"/>
        <v>2</v>
      </c>
      <c r="N83" s="183">
        <f t="shared" si="12"/>
        <v>0</v>
      </c>
      <c r="O83" s="201">
        <f t="shared" si="12"/>
        <v>75.86</v>
      </c>
      <c r="P83" s="184">
        <f t="shared" si="12"/>
        <v>0.34629000000000004</v>
      </c>
      <c r="R83" s="8" t="s">
        <v>28</v>
      </c>
      <c r="S83" s="46">
        <v>10</v>
      </c>
      <c r="T83" s="16">
        <v>10</v>
      </c>
      <c r="U83" s="45">
        <v>0.65</v>
      </c>
      <c r="V83" s="25">
        <f>T83*0/100</f>
        <v>0</v>
      </c>
      <c r="W83" s="13">
        <f>T83*104.3/100</f>
        <v>10.43</v>
      </c>
      <c r="X83" s="12">
        <f>T83*99.3/100</f>
        <v>9.93</v>
      </c>
      <c r="Y83" s="12">
        <f>T83*0/100</f>
        <v>0</v>
      </c>
      <c r="Z83" s="14">
        <f>T83*0/100</f>
        <v>0</v>
      </c>
      <c r="AA83" s="12">
        <f>T83*0/100</f>
        <v>0</v>
      </c>
      <c r="AB83" s="21">
        <f>T83*384/100</f>
        <v>38.4</v>
      </c>
      <c r="AC83" s="28">
        <f t="shared" si="11"/>
        <v>6.4999999999999997E-3</v>
      </c>
    </row>
    <row r="84" spans="3:29" ht="15.75" thickBot="1" x14ac:dyDescent="0.3">
      <c r="C84" s="172"/>
      <c r="D84" s="172"/>
      <c r="E84" s="172"/>
      <c r="F84" s="172"/>
      <c r="G84" s="172"/>
      <c r="H84" s="175" t="s">
        <v>62</v>
      </c>
      <c r="I84" s="170">
        <f t="shared" ref="I84:P84" si="13">I83*4</f>
        <v>21.279999999999998</v>
      </c>
      <c r="J84" s="185">
        <f t="shared" si="13"/>
        <v>26.504000000000001</v>
      </c>
      <c r="K84" s="185">
        <f t="shared" si="13"/>
        <v>35.08</v>
      </c>
      <c r="L84" s="185">
        <f t="shared" si="13"/>
        <v>5.6</v>
      </c>
      <c r="M84" s="185">
        <f t="shared" si="13"/>
        <v>8</v>
      </c>
      <c r="N84" s="185">
        <f t="shared" si="13"/>
        <v>0</v>
      </c>
      <c r="O84" s="185">
        <f t="shared" si="13"/>
        <v>303.44</v>
      </c>
      <c r="P84" s="177">
        <f t="shared" si="13"/>
        <v>1.3851600000000002</v>
      </c>
      <c r="R84" s="8" t="s">
        <v>37</v>
      </c>
      <c r="S84" s="46">
        <v>2</v>
      </c>
      <c r="T84" s="16">
        <v>2</v>
      </c>
      <c r="U84" s="45">
        <v>1.0900000000000001</v>
      </c>
      <c r="V84" s="25">
        <f>T84*0.5/100</f>
        <v>0.01</v>
      </c>
      <c r="W84" s="12">
        <f>T84*1.9/100</f>
        <v>3.7999999999999999E-2</v>
      </c>
      <c r="X84" s="13">
        <f>T84*0.1/100</f>
        <v>2E-3</v>
      </c>
      <c r="Y84" s="14">
        <v>0</v>
      </c>
      <c r="Z84" s="14">
        <f>T84*0.3/100</f>
        <v>6.0000000000000001E-3</v>
      </c>
      <c r="AA84" s="12">
        <f>T84*2.1/100</f>
        <v>4.2000000000000003E-2</v>
      </c>
      <c r="AB84" s="21">
        <f>T84*26/100</f>
        <v>0.52</v>
      </c>
      <c r="AC84" s="28">
        <f t="shared" si="11"/>
        <v>2.1800000000000001E-3</v>
      </c>
    </row>
    <row r="85" spans="3:29" x14ac:dyDescent="0.25"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R85" s="8" t="s">
        <v>71</v>
      </c>
      <c r="S85" s="46">
        <v>200</v>
      </c>
      <c r="T85" s="16">
        <v>200</v>
      </c>
      <c r="U85" s="45">
        <v>0.42</v>
      </c>
      <c r="V85" s="25">
        <f>T85*7.8/100</f>
        <v>15.6</v>
      </c>
      <c r="W85" s="13">
        <f>T85*81.5/100</f>
        <v>163</v>
      </c>
      <c r="X85" s="12">
        <f>T85*74.2/100</f>
        <v>148.4</v>
      </c>
      <c r="Y85" s="12">
        <f>T85*0.2/100</f>
        <v>0.4</v>
      </c>
      <c r="Z85" s="14">
        <f>T85*1.1/100</f>
        <v>2.2000000000000002</v>
      </c>
      <c r="AA85" s="12">
        <f>T85*2.9/100</f>
        <v>5.8</v>
      </c>
      <c r="AB85" s="21">
        <f>T85*347/100</f>
        <v>694</v>
      </c>
      <c r="AC85" s="28">
        <f t="shared" si="11"/>
        <v>8.4000000000000005E-2</v>
      </c>
    </row>
    <row r="86" spans="3:29" x14ac:dyDescent="0.25">
      <c r="C86" s="55" t="s">
        <v>7</v>
      </c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R86" s="8" t="s">
        <v>17</v>
      </c>
      <c r="S86" s="46">
        <v>100</v>
      </c>
      <c r="T86" s="16">
        <v>100</v>
      </c>
      <c r="U86" s="45">
        <v>1.62</v>
      </c>
      <c r="V86" s="25">
        <v>0</v>
      </c>
      <c r="W86" s="13">
        <v>0</v>
      </c>
      <c r="X86" s="12">
        <f>T86*0/100</f>
        <v>0</v>
      </c>
      <c r="Y86" s="12">
        <f t="shared" ref="Y86" si="14">U86*0/100</f>
        <v>0</v>
      </c>
      <c r="Z86" s="12">
        <f t="shared" ref="Z86" si="15">V86*0/100</f>
        <v>0</v>
      </c>
      <c r="AA86" s="12">
        <f t="shared" ref="AA86" si="16">W86*0/100</f>
        <v>0</v>
      </c>
      <c r="AB86" s="12">
        <f t="shared" ref="AB86" si="17">X86*0/100</f>
        <v>0</v>
      </c>
      <c r="AC86" s="28">
        <f t="shared" si="11"/>
        <v>0.16200000000000001</v>
      </c>
    </row>
    <row r="87" spans="3:29" ht="15.75" thickBot="1" x14ac:dyDescent="0.3">
      <c r="C87" s="56" t="s">
        <v>75</v>
      </c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R87" s="10" t="s">
        <v>15</v>
      </c>
      <c r="S87" s="47">
        <v>1</v>
      </c>
      <c r="T87" s="20">
        <v>1</v>
      </c>
      <c r="U87" s="30">
        <v>0.19</v>
      </c>
      <c r="V87" s="25">
        <v>0</v>
      </c>
      <c r="W87" s="13">
        <v>0</v>
      </c>
      <c r="X87" s="12">
        <f>T87*0/100</f>
        <v>0</v>
      </c>
      <c r="Y87" s="12">
        <f t="shared" ref="Y87" si="18">U87*0/100</f>
        <v>0</v>
      </c>
      <c r="Z87" s="12">
        <f t="shared" ref="Z87" si="19">V87*0/100</f>
        <v>0</v>
      </c>
      <c r="AA87" s="12">
        <f t="shared" ref="AA87" si="20">W87*0/100</f>
        <v>0</v>
      </c>
      <c r="AB87" s="12">
        <f t="shared" ref="AB87" si="21">X87*0/100</f>
        <v>0</v>
      </c>
      <c r="AC87" s="28">
        <f t="shared" si="11"/>
        <v>1.9000000000000001E-4</v>
      </c>
    </row>
    <row r="88" spans="3:29" x14ac:dyDescent="0.25">
      <c r="C88" s="55" t="s">
        <v>8</v>
      </c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T88" s="80" t="s">
        <v>61</v>
      </c>
      <c r="U88" s="88"/>
      <c r="V88" s="23">
        <f t="shared" ref="V88:AB88" si="22">SUM(V84:V87)/10</f>
        <v>1.5609999999999999</v>
      </c>
      <c r="W88" s="17">
        <f t="shared" si="22"/>
        <v>16.303800000000003</v>
      </c>
      <c r="X88" s="17">
        <f t="shared" si="22"/>
        <v>14.840200000000001</v>
      </c>
      <c r="Y88" s="17">
        <f t="shared" si="22"/>
        <v>0.04</v>
      </c>
      <c r="Z88" s="17">
        <f t="shared" si="22"/>
        <v>0.22059999999999999</v>
      </c>
      <c r="AA88" s="17">
        <f t="shared" si="22"/>
        <v>0.58419999999999994</v>
      </c>
      <c r="AB88" s="26">
        <f t="shared" si="22"/>
        <v>69.451999999999998</v>
      </c>
      <c r="AC88" s="29">
        <f>SUM(AC79:AC87)/10</f>
        <v>9.0296999999999988E-2</v>
      </c>
    </row>
    <row r="89" spans="3:29" ht="15.75" customHeight="1" thickBot="1" x14ac:dyDescent="0.3">
      <c r="C89" s="57" t="s">
        <v>55</v>
      </c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T89" s="81" t="s">
        <v>62</v>
      </c>
      <c r="U89" s="89"/>
      <c r="V89" s="24">
        <f t="shared" ref="V89:AC89" si="23">V88*4</f>
        <v>6.2439999999999998</v>
      </c>
      <c r="W89" s="18">
        <f t="shared" si="23"/>
        <v>65.21520000000001</v>
      </c>
      <c r="X89" s="18">
        <f t="shared" si="23"/>
        <v>59.360800000000005</v>
      </c>
      <c r="Y89" s="18">
        <f t="shared" si="23"/>
        <v>0.16</v>
      </c>
      <c r="Z89" s="18">
        <f t="shared" si="23"/>
        <v>0.88239999999999996</v>
      </c>
      <c r="AA89" s="18">
        <f t="shared" si="23"/>
        <v>2.3367999999999998</v>
      </c>
      <c r="AB89" s="18">
        <f t="shared" si="23"/>
        <v>277.80799999999999</v>
      </c>
      <c r="AC89" s="27">
        <f t="shared" si="23"/>
        <v>0.36118799999999995</v>
      </c>
    </row>
    <row r="90" spans="3:29" ht="15.75" customHeight="1" x14ac:dyDescent="0.25"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</row>
    <row r="91" spans="3:29" x14ac:dyDescent="0.25">
      <c r="C91" s="55" t="s">
        <v>9</v>
      </c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R91" s="55" t="s">
        <v>7</v>
      </c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</row>
    <row r="92" spans="3:29" ht="15" customHeight="1" x14ac:dyDescent="0.25">
      <c r="C92" s="57" t="s">
        <v>29</v>
      </c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R92" s="56" t="s">
        <v>74</v>
      </c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</row>
    <row r="93" spans="3:29" x14ac:dyDescent="0.25"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R93" s="55" t="s">
        <v>8</v>
      </c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</row>
    <row r="94" spans="3:29" ht="57" customHeight="1" x14ac:dyDescent="0.2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R94" s="57" t="s">
        <v>76</v>
      </c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</row>
    <row r="95" spans="3:29" ht="57" customHeight="1" thickBot="1" x14ac:dyDescent="0.3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</row>
    <row r="96" spans="3:29" ht="15.75" thickBot="1" x14ac:dyDescent="0.3">
      <c r="C96" s="92" t="s">
        <v>39</v>
      </c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4"/>
      <c r="R96" s="55" t="s">
        <v>9</v>
      </c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</row>
    <row r="97" spans="3:29" ht="15.75" thickBot="1" x14ac:dyDescent="0.3">
      <c r="C97" s="72" t="s">
        <v>0</v>
      </c>
      <c r="D97" s="95" t="s">
        <v>40</v>
      </c>
      <c r="E97" s="49" t="s">
        <v>80</v>
      </c>
      <c r="F97" s="49" t="s">
        <v>86</v>
      </c>
      <c r="G97" s="52" t="s">
        <v>81</v>
      </c>
      <c r="H97" s="86" t="s">
        <v>34</v>
      </c>
      <c r="I97" s="68" t="s">
        <v>1</v>
      </c>
      <c r="J97" s="69"/>
      <c r="K97" s="69"/>
      <c r="L97" s="69"/>
      <c r="M97" s="69"/>
      <c r="N97" s="69"/>
      <c r="O97" s="103"/>
      <c r="P97" s="70" t="s">
        <v>35</v>
      </c>
      <c r="R97" s="57" t="s">
        <v>77</v>
      </c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</row>
    <row r="98" spans="3:29" x14ac:dyDescent="0.25">
      <c r="C98" s="72"/>
      <c r="D98" s="96"/>
      <c r="E98" s="50"/>
      <c r="F98" s="50"/>
      <c r="G98" s="53"/>
      <c r="H98" s="57"/>
      <c r="I98" s="72" t="s">
        <v>82</v>
      </c>
      <c r="J98" s="82" t="s">
        <v>4</v>
      </c>
      <c r="K98" s="83"/>
      <c r="L98" s="104" t="s">
        <v>5</v>
      </c>
      <c r="M98" s="105"/>
      <c r="N98" s="100" t="s">
        <v>83</v>
      </c>
      <c r="O98" s="90" t="s">
        <v>31</v>
      </c>
      <c r="P98" s="71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</row>
    <row r="99" spans="3:29" ht="15.75" thickBot="1" x14ac:dyDescent="0.3">
      <c r="C99" s="81"/>
      <c r="D99" s="97"/>
      <c r="E99" s="51"/>
      <c r="F99" s="51"/>
      <c r="G99" s="54"/>
      <c r="H99" s="87"/>
      <c r="I99" s="81"/>
      <c r="J99" s="11" t="s">
        <v>85</v>
      </c>
      <c r="K99" s="11" t="s">
        <v>2</v>
      </c>
      <c r="L99" s="22" t="s">
        <v>30</v>
      </c>
      <c r="M99" s="19" t="s">
        <v>2</v>
      </c>
      <c r="N99" s="85"/>
      <c r="O99" s="91"/>
      <c r="P99" s="79"/>
      <c r="R99" s="1"/>
      <c r="S99" s="1"/>
      <c r="T99" s="5"/>
      <c r="U99" s="1"/>
      <c r="V99" s="5"/>
    </row>
    <row r="100" spans="3:29" x14ac:dyDescent="0.25">
      <c r="C100" s="148" t="s">
        <v>17</v>
      </c>
      <c r="D100" s="149">
        <v>100</v>
      </c>
      <c r="E100" s="150">
        <f>D100*4</f>
        <v>400</v>
      </c>
      <c r="F100" s="150">
        <v>100</v>
      </c>
      <c r="G100" s="151">
        <f>F100*4</f>
        <v>400</v>
      </c>
      <c r="H100" s="202">
        <v>1.6172</v>
      </c>
      <c r="I100" s="178" t="s">
        <v>63</v>
      </c>
      <c r="J100" s="150" t="s">
        <v>63</v>
      </c>
      <c r="K100" s="150" t="s">
        <v>63</v>
      </c>
      <c r="L100" s="150" t="s">
        <v>63</v>
      </c>
      <c r="M100" s="150" t="s">
        <v>63</v>
      </c>
      <c r="N100" s="150" t="s">
        <v>63</v>
      </c>
      <c r="O100" s="150" t="s">
        <v>63</v>
      </c>
      <c r="P100" s="147">
        <f>D100*H100/1000</f>
        <v>0.16172</v>
      </c>
      <c r="R100" s="7"/>
    </row>
    <row r="101" spans="3:29" x14ac:dyDescent="0.25">
      <c r="C101" s="178" t="s">
        <v>41</v>
      </c>
      <c r="D101" s="149">
        <v>3</v>
      </c>
      <c r="E101" s="150">
        <f>D101*4</f>
        <v>12</v>
      </c>
      <c r="F101" s="150">
        <v>3</v>
      </c>
      <c r="G101" s="151">
        <f>F101*4</f>
        <v>12</v>
      </c>
      <c r="H101" s="202">
        <v>1.0900000000000001</v>
      </c>
      <c r="I101" s="188">
        <f>F101*0.5/100</f>
        <v>1.4999999999999999E-2</v>
      </c>
      <c r="J101" s="197">
        <f>F101*1.9/100</f>
        <v>5.6999999999999995E-2</v>
      </c>
      <c r="K101" s="197">
        <f>F101*1.9/100</f>
        <v>5.6999999999999995E-2</v>
      </c>
      <c r="L101" s="154">
        <f>F101*0.1/100</f>
        <v>3.0000000000000005E-3</v>
      </c>
      <c r="M101" s="157">
        <f>F101*0.3/100</f>
        <v>8.9999999999999993E-3</v>
      </c>
      <c r="N101" s="154">
        <f>F101*2.1/100</f>
        <v>6.3E-2</v>
      </c>
      <c r="O101" s="158">
        <f>F101*26/100</f>
        <v>0.78</v>
      </c>
      <c r="P101" s="159">
        <f>D101*H101/1000</f>
        <v>3.2700000000000003E-3</v>
      </c>
    </row>
    <row r="102" spans="3:29" x14ac:dyDescent="0.25">
      <c r="C102" s="178" t="s">
        <v>56</v>
      </c>
      <c r="D102" s="149">
        <v>2</v>
      </c>
      <c r="E102" s="150">
        <f t="shared" ref="E102:E107" si="24">D102*4</f>
        <v>8</v>
      </c>
      <c r="F102" s="150">
        <f>D102*100/100</f>
        <v>2</v>
      </c>
      <c r="G102" s="151">
        <f t="shared" ref="G102:G107" si="25">F102*4</f>
        <v>8</v>
      </c>
      <c r="H102" s="202">
        <v>13.52</v>
      </c>
      <c r="I102" s="178">
        <f>F102*0.9/100</f>
        <v>1.8000000000000002E-2</v>
      </c>
      <c r="J102" s="150">
        <f>F102*5.1/100</f>
        <v>0.10199999999999999</v>
      </c>
      <c r="K102" s="150">
        <f>F102*5.1/100</f>
        <v>0.10199999999999999</v>
      </c>
      <c r="L102" s="150">
        <f>F102*0/100</f>
        <v>0</v>
      </c>
      <c r="M102" s="135">
        <f>F102*0.6/100</f>
        <v>1.2E-2</v>
      </c>
      <c r="N102" s="150">
        <f>F102*6.7/100</f>
        <v>0.13400000000000001</v>
      </c>
      <c r="O102" s="172">
        <f>F102*34/100</f>
        <v>0.68</v>
      </c>
      <c r="P102" s="159">
        <f t="shared" ref="P102:P107" si="26">D102*H102/1000</f>
        <v>2.7039999999999998E-2</v>
      </c>
    </row>
    <row r="103" spans="3:29" x14ac:dyDescent="0.25">
      <c r="C103" s="178" t="s">
        <v>57</v>
      </c>
      <c r="D103" s="149">
        <v>2</v>
      </c>
      <c r="E103" s="150">
        <f t="shared" si="24"/>
        <v>8</v>
      </c>
      <c r="F103" s="150">
        <v>2</v>
      </c>
      <c r="G103" s="151">
        <f t="shared" si="25"/>
        <v>8</v>
      </c>
      <c r="H103" s="202">
        <v>19.920000000000002</v>
      </c>
      <c r="I103" s="178">
        <f>F103*0.7/100</f>
        <v>1.3999999999999999E-2</v>
      </c>
      <c r="J103" s="150">
        <f>F103*10/100</f>
        <v>0.2</v>
      </c>
      <c r="K103" s="150">
        <f>F103*14.5/100</f>
        <v>0.28999999999999998</v>
      </c>
      <c r="L103" s="150">
        <f>F103*0/100</f>
        <v>0</v>
      </c>
      <c r="M103" s="135">
        <f>F103*0.3/100</f>
        <v>6.0000000000000001E-3</v>
      </c>
      <c r="N103" s="150">
        <f>F103*2.4/100</f>
        <v>4.8000000000000001E-2</v>
      </c>
      <c r="O103" s="172">
        <f>F103*57/100</f>
        <v>1.1399999999999999</v>
      </c>
      <c r="P103" s="159">
        <f>D103*H103/1000</f>
        <v>3.984E-2</v>
      </c>
    </row>
    <row r="104" spans="3:29" x14ac:dyDescent="0.25">
      <c r="C104" s="178" t="s">
        <v>58</v>
      </c>
      <c r="D104" s="149">
        <v>2</v>
      </c>
      <c r="E104" s="150">
        <f t="shared" si="24"/>
        <v>8</v>
      </c>
      <c r="F104" s="150">
        <v>2</v>
      </c>
      <c r="G104" s="151">
        <f t="shared" si="25"/>
        <v>8</v>
      </c>
      <c r="H104" s="202">
        <v>23.92</v>
      </c>
      <c r="I104" s="178">
        <f>F104*1.4/100</f>
        <v>2.7999999999999997E-2</v>
      </c>
      <c r="J104" s="150">
        <f>F104*4.9/100</f>
        <v>9.8000000000000004E-2</v>
      </c>
      <c r="K104" s="150">
        <f>F104*10/100</f>
        <v>0.2</v>
      </c>
      <c r="L104" s="150">
        <f>F104*0/100</f>
        <v>0</v>
      </c>
      <c r="M104" s="135">
        <f>F104*0.5/100</f>
        <v>0.01</v>
      </c>
      <c r="N104" s="150">
        <f>F104*5.3/100</f>
        <v>0.106</v>
      </c>
      <c r="O104" s="172">
        <f>F104*43/100</f>
        <v>0.86</v>
      </c>
      <c r="P104" s="159">
        <f t="shared" si="26"/>
        <v>4.7840000000000001E-2</v>
      </c>
    </row>
    <row r="105" spans="3:29" x14ac:dyDescent="0.25">
      <c r="C105" s="178" t="s">
        <v>59</v>
      </c>
      <c r="D105" s="149">
        <v>2</v>
      </c>
      <c r="E105" s="150">
        <f t="shared" si="24"/>
        <v>8</v>
      </c>
      <c r="F105" s="150">
        <v>2</v>
      </c>
      <c r="G105" s="151">
        <f t="shared" si="25"/>
        <v>8</v>
      </c>
      <c r="H105" s="202">
        <v>5.98</v>
      </c>
      <c r="I105" s="178">
        <f>F105*0.6/100</f>
        <v>1.2E-2</v>
      </c>
      <c r="J105" s="150">
        <f>F105*5.4/100</f>
        <v>0.10800000000000001</v>
      </c>
      <c r="K105" s="150">
        <f>F105*5.3/100</f>
        <v>0.106</v>
      </c>
      <c r="L105" s="150">
        <f>F105*0/100</f>
        <v>0</v>
      </c>
      <c r="M105" s="135">
        <f>F105*0.6/100</f>
        <v>1.2E-2</v>
      </c>
      <c r="N105" s="150">
        <f>F105*5/100</f>
        <v>0.1</v>
      </c>
      <c r="O105" s="172">
        <f>F105*29/100</f>
        <v>0.57999999999999996</v>
      </c>
      <c r="P105" s="159">
        <f t="shared" si="26"/>
        <v>1.196E-2</v>
      </c>
    </row>
    <row r="106" spans="3:29" x14ac:dyDescent="0.25">
      <c r="C106" s="178" t="s">
        <v>11</v>
      </c>
      <c r="D106" s="149">
        <v>1</v>
      </c>
      <c r="E106" s="150">
        <f t="shared" si="24"/>
        <v>4</v>
      </c>
      <c r="F106" s="150">
        <v>1</v>
      </c>
      <c r="G106" s="151">
        <f t="shared" si="25"/>
        <v>4</v>
      </c>
      <c r="H106" s="202">
        <v>17.93</v>
      </c>
      <c r="I106" s="153">
        <v>0</v>
      </c>
      <c r="J106" s="154">
        <v>0</v>
      </c>
      <c r="K106" s="154">
        <v>0</v>
      </c>
      <c r="L106" s="157">
        <v>0</v>
      </c>
      <c r="M106" s="154">
        <v>0</v>
      </c>
      <c r="N106" s="154">
        <v>0</v>
      </c>
      <c r="O106" s="190">
        <v>0</v>
      </c>
      <c r="P106" s="159">
        <f t="shared" si="26"/>
        <v>1.7929999999999998E-2</v>
      </c>
    </row>
    <row r="107" spans="3:29" ht="15.75" thickBot="1" x14ac:dyDescent="0.3">
      <c r="C107" s="178" t="s">
        <v>20</v>
      </c>
      <c r="D107" s="180">
        <v>2.5</v>
      </c>
      <c r="E107" s="162">
        <f t="shared" si="24"/>
        <v>10</v>
      </c>
      <c r="F107" s="162">
        <v>2.5</v>
      </c>
      <c r="G107" s="164">
        <f t="shared" si="25"/>
        <v>10</v>
      </c>
      <c r="H107" s="202">
        <v>10</v>
      </c>
      <c r="I107" s="178">
        <f>F107*3.9/100</f>
        <v>9.7500000000000003E-2</v>
      </c>
      <c r="J107" s="150">
        <f>F107*55.5/100</f>
        <v>1.3875</v>
      </c>
      <c r="K107" s="162">
        <f>F107*55.5/100</f>
        <v>1.3875</v>
      </c>
      <c r="L107" s="162">
        <f>F107*0.7/100</f>
        <v>1.7500000000000002E-2</v>
      </c>
      <c r="M107" s="135">
        <f>F107*3.2/100</f>
        <v>0.08</v>
      </c>
      <c r="N107" s="150">
        <f>F107*24.4/100</f>
        <v>0.61</v>
      </c>
      <c r="O107" s="172">
        <f>F107*252/100</f>
        <v>6.3</v>
      </c>
      <c r="P107" s="159">
        <f t="shared" si="26"/>
        <v>2.5000000000000001E-2</v>
      </c>
    </row>
    <row r="108" spans="3:29" x14ac:dyDescent="0.25">
      <c r="C108" s="181"/>
      <c r="D108" s="181"/>
      <c r="E108" s="181"/>
      <c r="F108" s="181"/>
      <c r="G108" s="181"/>
      <c r="H108" s="182" t="s">
        <v>61</v>
      </c>
      <c r="I108" s="136">
        <f t="shared" ref="I108:P108" si="27">SUM(I100:I107)</f>
        <v>0.1845</v>
      </c>
      <c r="J108" s="138">
        <f t="shared" si="27"/>
        <v>1.9524999999999999</v>
      </c>
      <c r="K108" s="138">
        <f t="shared" si="27"/>
        <v>2.1425000000000001</v>
      </c>
      <c r="L108" s="138">
        <f t="shared" si="27"/>
        <v>2.0500000000000001E-2</v>
      </c>
      <c r="M108" s="138">
        <f t="shared" si="27"/>
        <v>0.129</v>
      </c>
      <c r="N108" s="138">
        <f t="shared" si="27"/>
        <v>1.0609999999999999</v>
      </c>
      <c r="O108" s="138">
        <f t="shared" si="27"/>
        <v>10.34</v>
      </c>
      <c r="P108" s="184">
        <f t="shared" si="27"/>
        <v>0.33460000000000006</v>
      </c>
    </row>
    <row r="109" spans="3:29" ht="15.75" thickBot="1" x14ac:dyDescent="0.3">
      <c r="C109" s="172"/>
      <c r="D109" s="172"/>
      <c r="E109" s="172"/>
      <c r="F109" s="172"/>
      <c r="G109" s="172"/>
      <c r="H109" s="175" t="s">
        <v>62</v>
      </c>
      <c r="I109" s="160">
        <f t="shared" ref="I109:P109" si="28">I108*4</f>
        <v>0.73799999999999999</v>
      </c>
      <c r="J109" s="162">
        <f t="shared" si="28"/>
        <v>7.81</v>
      </c>
      <c r="K109" s="162">
        <f t="shared" si="28"/>
        <v>8.57</v>
      </c>
      <c r="L109" s="162">
        <f t="shared" si="28"/>
        <v>8.2000000000000003E-2</v>
      </c>
      <c r="M109" s="162">
        <f t="shared" si="28"/>
        <v>0.51600000000000001</v>
      </c>
      <c r="N109" s="162">
        <f t="shared" si="28"/>
        <v>4.2439999999999998</v>
      </c>
      <c r="O109" s="162">
        <f t="shared" si="28"/>
        <v>41.36</v>
      </c>
      <c r="P109" s="177">
        <f t="shared" si="28"/>
        <v>1.3384000000000003</v>
      </c>
      <c r="S109" s="3"/>
      <c r="T109" s="3"/>
      <c r="U109" s="3"/>
      <c r="V109" s="3"/>
    </row>
    <row r="110" spans="3:29" x14ac:dyDescent="0.25"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</row>
    <row r="111" spans="3:29" x14ac:dyDescent="0.25">
      <c r="C111" s="55" t="s">
        <v>7</v>
      </c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</row>
    <row r="112" spans="3:29" x14ac:dyDescent="0.25"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</row>
    <row r="113" spans="3:19" x14ac:dyDescent="0.25">
      <c r="C113" s="55" t="s">
        <v>8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</row>
    <row r="114" spans="3:19" x14ac:dyDescent="0.25">
      <c r="C114" s="57" t="s">
        <v>60</v>
      </c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</row>
    <row r="115" spans="3:19" x14ac:dyDescent="0.25"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</row>
    <row r="116" spans="3:19" x14ac:dyDescent="0.25">
      <c r="C116" s="55" t="s">
        <v>9</v>
      </c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</row>
    <row r="117" spans="3:19" x14ac:dyDescent="0.25">
      <c r="C117" s="57" t="s">
        <v>42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</row>
    <row r="118" spans="3:19" x14ac:dyDescent="0.25"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</row>
    <row r="120" spans="3:19" ht="15.75" thickBot="1" x14ac:dyDescent="0.3"/>
    <row r="121" spans="3:19" ht="15.75" thickBot="1" x14ac:dyDescent="0.3">
      <c r="H121" s="68" t="s">
        <v>65</v>
      </c>
      <c r="I121" s="69"/>
      <c r="J121" s="69"/>
      <c r="K121" s="69"/>
      <c r="L121" s="69"/>
      <c r="M121" s="69"/>
      <c r="N121" s="69"/>
      <c r="O121" s="70" t="s">
        <v>35</v>
      </c>
    </row>
    <row r="122" spans="3:19" x14ac:dyDescent="0.25">
      <c r="H122" s="72" t="s">
        <v>3</v>
      </c>
      <c r="I122" s="73" t="s">
        <v>4</v>
      </c>
      <c r="J122" s="74"/>
      <c r="K122" s="73" t="s">
        <v>5</v>
      </c>
      <c r="L122" s="74"/>
      <c r="M122" s="50" t="s">
        <v>6</v>
      </c>
      <c r="N122" s="57" t="s">
        <v>31</v>
      </c>
      <c r="O122" s="71"/>
      <c r="S122" s="31"/>
    </row>
    <row r="123" spans="3:19" ht="15.75" thickBot="1" x14ac:dyDescent="0.3">
      <c r="H123" s="72"/>
      <c r="I123" s="75"/>
      <c r="J123" s="76"/>
      <c r="K123" s="75"/>
      <c r="L123" s="76"/>
      <c r="M123" s="50"/>
      <c r="N123" s="57"/>
      <c r="O123" s="71"/>
    </row>
    <row r="124" spans="3:19" ht="15.75" thickBot="1" x14ac:dyDescent="0.3">
      <c r="C124" s="60" t="s">
        <v>64</v>
      </c>
      <c r="D124" s="61"/>
      <c r="E124" s="62"/>
      <c r="F124" s="63"/>
      <c r="G124" s="44"/>
      <c r="H124" s="37">
        <f>I10+I35+I63+I83+I108</f>
        <v>46.193980000000003</v>
      </c>
      <c r="I124" s="58">
        <f>J10+J35+J63+K83+K108</f>
        <v>81.273099999999985</v>
      </c>
      <c r="J124" s="59"/>
      <c r="K124" s="58">
        <f>M10+M35+M63+M83+M108</f>
        <v>21.86026</v>
      </c>
      <c r="L124" s="59"/>
      <c r="M124" s="32">
        <f>N10+N35+N63+N83+N108</f>
        <v>14.694700000000001</v>
      </c>
      <c r="N124" s="38">
        <f>O10+O35+O63+O83+O108</f>
        <v>708.40340000000003</v>
      </c>
      <c r="O124" s="39">
        <f>P10+P35+P63+P83+P108</f>
        <v>5.4628940000000004</v>
      </c>
      <c r="S124" s="31"/>
    </row>
    <row r="125" spans="3:19" ht="15.75" thickBot="1" x14ac:dyDescent="0.3">
      <c r="H125" s="31"/>
      <c r="I125" s="31"/>
      <c r="K125" s="31"/>
      <c r="N125" s="42"/>
    </row>
    <row r="126" spans="3:19" ht="31.5" customHeight="1" thickBot="1" x14ac:dyDescent="0.3">
      <c r="C126" s="65" t="s">
        <v>68</v>
      </c>
      <c r="D126" s="66"/>
      <c r="E126" s="66"/>
      <c r="F126" s="66"/>
      <c r="G126" s="43"/>
      <c r="H126" s="33">
        <f>(H124*4)*100/N124</f>
        <v>26.083432123561234</v>
      </c>
      <c r="I126" s="64">
        <f>(I124*4)*100/N124</f>
        <v>45.890858231341056</v>
      </c>
      <c r="J126" s="64"/>
      <c r="K126" s="64">
        <f>(K124*9)*100/N124</f>
        <v>27.772641972074101</v>
      </c>
      <c r="L126" s="67"/>
      <c r="M126" s="34"/>
      <c r="N126" s="35">
        <f>N124*100/2380</f>
        <v>29.764848739495797</v>
      </c>
      <c r="O126" s="36" t="s">
        <v>67</v>
      </c>
      <c r="S126" s="31"/>
    </row>
  </sheetData>
  <mergeCells count="164">
    <mergeCell ref="K28:L28"/>
    <mergeCell ref="N26:N27"/>
    <mergeCell ref="C2:O2"/>
    <mergeCell ref="N5:N6"/>
    <mergeCell ref="C3:O3"/>
    <mergeCell ref="I4:O4"/>
    <mergeCell ref="I5:I6"/>
    <mergeCell ref="J5:J6"/>
    <mergeCell ref="O5:O6"/>
    <mergeCell ref="F4:F6"/>
    <mergeCell ref="D4:D6"/>
    <mergeCell ref="C4:C6"/>
    <mergeCell ref="H25:H27"/>
    <mergeCell ref="K26:M26"/>
    <mergeCell ref="K27:L27"/>
    <mergeCell ref="E4:E6"/>
    <mergeCell ref="G4:G6"/>
    <mergeCell ref="E25:E27"/>
    <mergeCell ref="G25:G27"/>
    <mergeCell ref="P25:P27"/>
    <mergeCell ref="K5:M5"/>
    <mergeCell ref="K6:L6"/>
    <mergeCell ref="K7:L7"/>
    <mergeCell ref="K8:L8"/>
    <mergeCell ref="K9:L9"/>
    <mergeCell ref="K10:L10"/>
    <mergeCell ref="K11:L11"/>
    <mergeCell ref="H4:H6"/>
    <mergeCell ref="P4:P6"/>
    <mergeCell ref="C13:P13"/>
    <mergeCell ref="C15:P15"/>
    <mergeCell ref="C14:P14"/>
    <mergeCell ref="C16:P17"/>
    <mergeCell ref="C18:P18"/>
    <mergeCell ref="C19:P20"/>
    <mergeCell ref="C24:P24"/>
    <mergeCell ref="C25:C27"/>
    <mergeCell ref="D25:D27"/>
    <mergeCell ref="O26:O27"/>
    <mergeCell ref="F25:F27"/>
    <mergeCell ref="I25:O25"/>
    <mergeCell ref="I26:I27"/>
    <mergeCell ref="J26:J27"/>
    <mergeCell ref="K29:L29"/>
    <mergeCell ref="K30:L30"/>
    <mergeCell ref="K32:L32"/>
    <mergeCell ref="K33:L33"/>
    <mergeCell ref="K34:L34"/>
    <mergeCell ref="K63:L63"/>
    <mergeCell ref="C49:C51"/>
    <mergeCell ref="D49:D51"/>
    <mergeCell ref="F49:F51"/>
    <mergeCell ref="I49:O49"/>
    <mergeCell ref="C48:P48"/>
    <mergeCell ref="K31:L31"/>
    <mergeCell ref="K58:L58"/>
    <mergeCell ref="K35:L35"/>
    <mergeCell ref="P49:P51"/>
    <mergeCell ref="I50:I51"/>
    <mergeCell ref="J50:J51"/>
    <mergeCell ref="N50:N51"/>
    <mergeCell ref="K36:L36"/>
    <mergeCell ref="K59:L59"/>
    <mergeCell ref="K61:L61"/>
    <mergeCell ref="K56:L56"/>
    <mergeCell ref="K57:L57"/>
    <mergeCell ref="K60:L60"/>
    <mergeCell ref="C38:P38"/>
    <mergeCell ref="C40:P40"/>
    <mergeCell ref="C39:P39"/>
    <mergeCell ref="C41:P42"/>
    <mergeCell ref="C43:P43"/>
    <mergeCell ref="C44:P45"/>
    <mergeCell ref="C65:P65"/>
    <mergeCell ref="C67:P67"/>
    <mergeCell ref="C66:P66"/>
    <mergeCell ref="H49:H51"/>
    <mergeCell ref="O50:O51"/>
    <mergeCell ref="K50:M50"/>
    <mergeCell ref="K51:L51"/>
    <mergeCell ref="K52:L52"/>
    <mergeCell ref="K53:L53"/>
    <mergeCell ref="K54:L54"/>
    <mergeCell ref="K55:L55"/>
    <mergeCell ref="R75:AC75"/>
    <mergeCell ref="R76:R78"/>
    <mergeCell ref="S76:S78"/>
    <mergeCell ref="T76:T78"/>
    <mergeCell ref="U76:U78"/>
    <mergeCell ref="C117:P118"/>
    <mergeCell ref="H97:H99"/>
    <mergeCell ref="C97:C99"/>
    <mergeCell ref="D97:D99"/>
    <mergeCell ref="F97:F99"/>
    <mergeCell ref="I97:O97"/>
    <mergeCell ref="P97:P99"/>
    <mergeCell ref="I98:I99"/>
    <mergeCell ref="L98:M98"/>
    <mergeCell ref="N98:N99"/>
    <mergeCell ref="O98:O99"/>
    <mergeCell ref="J98:K98"/>
    <mergeCell ref="C111:P111"/>
    <mergeCell ref="C112:P112"/>
    <mergeCell ref="C96:P96"/>
    <mergeCell ref="O77:O78"/>
    <mergeCell ref="J77:K77"/>
    <mergeCell ref="C68:P69"/>
    <mergeCell ref="C70:P70"/>
    <mergeCell ref="C71:P72"/>
    <mergeCell ref="C86:P86"/>
    <mergeCell ref="C87:P87"/>
    <mergeCell ref="C88:P88"/>
    <mergeCell ref="C89:P90"/>
    <mergeCell ref="H76:H78"/>
    <mergeCell ref="C75:P75"/>
    <mergeCell ref="C76:C78"/>
    <mergeCell ref="D76:D78"/>
    <mergeCell ref="F76:F78"/>
    <mergeCell ref="I76:O76"/>
    <mergeCell ref="P76:P78"/>
    <mergeCell ref="I77:I78"/>
    <mergeCell ref="L77:M77"/>
    <mergeCell ref="N77:N78"/>
    <mergeCell ref="I124:J124"/>
    <mergeCell ref="K124:L124"/>
    <mergeCell ref="C124:F124"/>
    <mergeCell ref="I126:J126"/>
    <mergeCell ref="C126:F126"/>
    <mergeCell ref="K126:L126"/>
    <mergeCell ref="R96:AC96"/>
    <mergeCell ref="H121:N121"/>
    <mergeCell ref="O121:O123"/>
    <mergeCell ref="H122:H123"/>
    <mergeCell ref="M122:M123"/>
    <mergeCell ref="N122:N123"/>
    <mergeCell ref="I122:J123"/>
    <mergeCell ref="K122:L123"/>
    <mergeCell ref="C113:P113"/>
    <mergeCell ref="C114:P115"/>
    <mergeCell ref="C116:P116"/>
    <mergeCell ref="E49:E51"/>
    <mergeCell ref="G49:G51"/>
    <mergeCell ref="E76:E78"/>
    <mergeCell ref="G76:G78"/>
    <mergeCell ref="E97:E99"/>
    <mergeCell ref="G97:G99"/>
    <mergeCell ref="R91:AC91"/>
    <mergeCell ref="R92:AC92"/>
    <mergeCell ref="R93:AC93"/>
    <mergeCell ref="R94:AC95"/>
    <mergeCell ref="R97:AC98"/>
    <mergeCell ref="C91:P91"/>
    <mergeCell ref="C92:P93"/>
    <mergeCell ref="V76:AB76"/>
    <mergeCell ref="AC76:AC78"/>
    <mergeCell ref="V77:V78"/>
    <mergeCell ref="W77:X77"/>
    <mergeCell ref="Y77:Z77"/>
    <mergeCell ref="AA77:AA78"/>
    <mergeCell ref="AB77:AB78"/>
    <mergeCell ref="K64:L64"/>
    <mergeCell ref="K62:L62"/>
    <mergeCell ref="T88:U88"/>
    <mergeCell ref="T89:U8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Baptista</dc:creator>
  <cp:lastModifiedBy>Adriana Baptista</cp:lastModifiedBy>
  <cp:lastPrinted>2019-02-20T14:18:18Z</cp:lastPrinted>
  <dcterms:created xsi:type="dcterms:W3CDTF">2019-02-13T16:16:27Z</dcterms:created>
  <dcterms:modified xsi:type="dcterms:W3CDTF">2019-02-25T12:38:44Z</dcterms:modified>
</cp:coreProperties>
</file>